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al9\Desktop\Инвестпрограмма ООО НЭСКО 2021-2025\ИП АО ЮТЭК 2021 (ИСУ)\"/>
    </mc:Choice>
  </mc:AlternateContent>
  <bookViews>
    <workbookView xWindow="0" yWindow="0" windowWidth="28800" windowHeight="12135"/>
  </bookViews>
  <sheets>
    <sheet name="сводный расчет (2)" sheetId="13" r:id="rId1"/>
    <sheet name="сводный расчет" sheetId="8" r:id="rId2"/>
    <sheet name="2021" sheetId="1" r:id="rId3"/>
    <sheet name="2022" sheetId="9" r:id="rId4"/>
    <sheet name="2023" sheetId="10" r:id="rId5"/>
    <sheet name="2024" sheetId="11" r:id="rId6"/>
    <sheet name="2025" sheetId="12" r:id="rId7"/>
  </sheets>
  <definedNames>
    <definedName name="_xlnm.Print_Area" localSheetId="2">'2021'!$A$1:$F$27</definedName>
    <definedName name="_xlnm.Print_Area" localSheetId="3">'2022'!$A$1:$F$27</definedName>
    <definedName name="_xlnm.Print_Area" localSheetId="4">'2023'!$A$1:$F$27</definedName>
    <definedName name="_xlnm.Print_Area" localSheetId="5">'2024'!$A$1:$F$27</definedName>
    <definedName name="_xlnm.Print_Area" localSheetId="6">'2025'!$A$1:$F$27</definedName>
  </definedNames>
  <calcPr calcId="162913" fullPrecision="0"/>
</workbook>
</file>

<file path=xl/calcChain.xml><?xml version="1.0" encoding="utf-8"?>
<calcChain xmlns="http://schemas.openxmlformats.org/spreadsheetml/2006/main">
  <c r="H26" i="13" l="1"/>
  <c r="G26" i="13"/>
  <c r="H21" i="13"/>
  <c r="H17" i="13"/>
  <c r="H13" i="13"/>
  <c r="H9" i="13"/>
  <c r="H5" i="13"/>
  <c r="U5" i="8" l="1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D24" i="12"/>
  <c r="D24" i="11"/>
  <c r="D24" i="10"/>
  <c r="D24" i="9"/>
  <c r="D24" i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5" i="13"/>
  <c r="E5" i="9" l="1"/>
  <c r="F5" i="9" s="1"/>
  <c r="E6" i="9"/>
  <c r="F6" i="9" s="1"/>
  <c r="E4" i="9"/>
  <c r="F4" i="9" s="1"/>
  <c r="F6" i="1"/>
  <c r="F4" i="1"/>
  <c r="E4" i="10" l="1"/>
  <c r="E5" i="10"/>
  <c r="E6" i="10"/>
  <c r="F5" i="1"/>
  <c r="F7" i="1" s="1"/>
  <c r="F7" i="9"/>
  <c r="F8" i="9" s="1"/>
  <c r="F9" i="9" s="1"/>
  <c r="E6" i="11" l="1"/>
  <c r="F6" i="10"/>
  <c r="F5" i="10"/>
  <c r="E5" i="11"/>
  <c r="F4" i="10"/>
  <c r="E4" i="11"/>
  <c r="F11" i="9"/>
  <c r="F10" i="9"/>
  <c r="F8" i="1"/>
  <c r="F9" i="1" s="1"/>
  <c r="F5" i="11" l="1"/>
  <c r="E5" i="12"/>
  <c r="F5" i="12" s="1"/>
  <c r="E4" i="12"/>
  <c r="F4" i="12" s="1"/>
  <c r="F4" i="11"/>
  <c r="F7" i="10"/>
  <c r="F8" i="10" s="1"/>
  <c r="F9" i="10" s="1"/>
  <c r="F6" i="11"/>
  <c r="E6" i="12"/>
  <c r="F6" i="12" s="1"/>
  <c r="F13" i="9"/>
  <c r="F11" i="1"/>
  <c r="F10" i="1"/>
  <c r="F7" i="11" l="1"/>
  <c r="F8" i="11" s="1"/>
  <c r="F9" i="11" s="1"/>
  <c r="F11" i="11" s="1"/>
  <c r="F7" i="12"/>
  <c r="F8" i="12" s="1"/>
  <c r="F9" i="12" s="1"/>
  <c r="F10" i="10"/>
  <c r="F11" i="10"/>
  <c r="F15" i="9"/>
  <c r="F19" i="9"/>
  <c r="F18" i="9"/>
  <c r="F16" i="9"/>
  <c r="F13" i="1"/>
  <c r="F10" i="11" l="1"/>
  <c r="F13" i="11" s="1"/>
  <c r="F16" i="11" s="1"/>
  <c r="F11" i="12"/>
  <c r="F10" i="12"/>
  <c r="F13" i="10"/>
  <c r="F21" i="9"/>
  <c r="F23" i="9" s="1"/>
  <c r="F25" i="9" s="1"/>
  <c r="F6" i="8" s="1"/>
  <c r="F19" i="1"/>
  <c r="F18" i="1"/>
  <c r="F16" i="1"/>
  <c r="F15" i="1"/>
  <c r="F18" i="11" l="1"/>
  <c r="F19" i="11"/>
  <c r="F15" i="11"/>
  <c r="F13" i="12"/>
  <c r="F18" i="12" s="1"/>
  <c r="F7" i="8"/>
  <c r="F8" i="8" s="1"/>
  <c r="D9" i="13"/>
  <c r="F16" i="10"/>
  <c r="F15" i="10"/>
  <c r="F19" i="10"/>
  <c r="F18" i="10"/>
  <c r="G6" i="8"/>
  <c r="G7" i="8" s="1"/>
  <c r="G8" i="8" s="1"/>
  <c r="F21" i="1"/>
  <c r="F23" i="1" s="1"/>
  <c r="F25" i="1" s="1"/>
  <c r="B6" i="8" s="1"/>
  <c r="F15" i="12" l="1"/>
  <c r="F21" i="11"/>
  <c r="F23" i="11" s="1"/>
  <c r="F25" i="11" s="1"/>
  <c r="N6" i="8" s="1"/>
  <c r="D17" i="13" s="1"/>
  <c r="F16" i="12"/>
  <c r="F19" i="12"/>
  <c r="B7" i="8"/>
  <c r="B8" i="8" s="1"/>
  <c r="D5" i="13"/>
  <c r="F21" i="10"/>
  <c r="F23" i="10" s="1"/>
  <c r="F25" i="10" s="1"/>
  <c r="J6" i="8" s="1"/>
  <c r="D10" i="13"/>
  <c r="E9" i="13"/>
  <c r="F9" i="13" s="1"/>
  <c r="H6" i="8"/>
  <c r="H7" i="8" s="1"/>
  <c r="H8" i="8" s="1"/>
  <c r="C6" i="8"/>
  <c r="C7" i="8" s="1"/>
  <c r="C8" i="8" s="1"/>
  <c r="N7" i="8" l="1"/>
  <c r="N8" i="8" s="1"/>
  <c r="O6" i="8"/>
  <c r="O7" i="8" s="1"/>
  <c r="O8" i="8" s="1"/>
  <c r="F21" i="12"/>
  <c r="F23" i="12" s="1"/>
  <c r="F25" i="12" s="1"/>
  <c r="R6" i="8" s="1"/>
  <c r="D21" i="13" s="1"/>
  <c r="D18" i="13"/>
  <c r="E17" i="13"/>
  <c r="F17" i="13" s="1"/>
  <c r="J7" i="8"/>
  <c r="J8" i="8" s="1"/>
  <c r="D13" i="13"/>
  <c r="K6" i="8"/>
  <c r="D6" i="13"/>
  <c r="E5" i="13"/>
  <c r="F5" i="13" s="1"/>
  <c r="D11" i="13"/>
  <c r="E10" i="13"/>
  <c r="F10" i="13" s="1"/>
  <c r="I6" i="8"/>
  <c r="I7" i="8" s="1"/>
  <c r="I8" i="8" s="1"/>
  <c r="D6" i="8"/>
  <c r="D7" i="8" s="1"/>
  <c r="D8" i="8" s="1"/>
  <c r="P6" i="8" l="1"/>
  <c r="P7" i="8" s="1"/>
  <c r="P8" i="8" s="1"/>
  <c r="R7" i="8"/>
  <c r="R8" i="8" s="1"/>
  <c r="S6" i="8"/>
  <c r="T6" i="8" s="1"/>
  <c r="E21" i="13"/>
  <c r="F21" i="13" s="1"/>
  <c r="D22" i="13"/>
  <c r="D14" i="13"/>
  <c r="E13" i="13"/>
  <c r="F13" i="13" s="1"/>
  <c r="D12" i="13"/>
  <c r="E12" i="13" s="1"/>
  <c r="F12" i="13" s="1"/>
  <c r="E11" i="13"/>
  <c r="F11" i="13" s="1"/>
  <c r="D7" i="13"/>
  <c r="E6" i="13"/>
  <c r="F6" i="13" s="1"/>
  <c r="K7" i="8"/>
  <c r="K8" i="8" s="1"/>
  <c r="L6" i="8"/>
  <c r="D19" i="13"/>
  <c r="E18" i="13"/>
  <c r="F18" i="13" s="1"/>
  <c r="F9" i="8"/>
  <c r="E6" i="8"/>
  <c r="E7" i="8" s="1"/>
  <c r="E8" i="8" s="1"/>
  <c r="Q6" i="8" l="1"/>
  <c r="Q7" i="8" s="1"/>
  <c r="Q8" i="8" s="1"/>
  <c r="N9" i="8" s="1"/>
  <c r="S7" i="8"/>
  <c r="S8" i="8" s="1"/>
  <c r="D23" i="13"/>
  <c r="E22" i="13"/>
  <c r="F22" i="13" s="1"/>
  <c r="T7" i="8"/>
  <c r="T8" i="8" s="1"/>
  <c r="U6" i="8"/>
  <c r="U7" i="8" s="1"/>
  <c r="U8" i="8" s="1"/>
  <c r="G9" i="13"/>
  <c r="D20" i="13"/>
  <c r="E20" i="13" s="1"/>
  <c r="F20" i="13" s="1"/>
  <c r="E19" i="13"/>
  <c r="F19" i="13" s="1"/>
  <c r="D8" i="13"/>
  <c r="E8" i="13" s="1"/>
  <c r="F8" i="13" s="1"/>
  <c r="E7" i="13"/>
  <c r="F7" i="13" s="1"/>
  <c r="L7" i="8"/>
  <c r="L8" i="8" s="1"/>
  <c r="M6" i="8"/>
  <c r="M7" i="8" s="1"/>
  <c r="M8" i="8" s="1"/>
  <c r="D15" i="13"/>
  <c r="E14" i="13"/>
  <c r="F14" i="13" s="1"/>
  <c r="B9" i="8"/>
  <c r="G17" i="13" l="1"/>
  <c r="R9" i="8"/>
  <c r="J9" i="8"/>
  <c r="D24" i="13"/>
  <c r="E24" i="13" s="1"/>
  <c r="F24" i="13" s="1"/>
  <c r="E23" i="13"/>
  <c r="F23" i="13" s="1"/>
  <c r="D16" i="13"/>
  <c r="E16" i="13" s="1"/>
  <c r="F16" i="13" s="1"/>
  <c r="E15" i="13"/>
  <c r="F15" i="13" s="1"/>
  <c r="G5" i="13"/>
  <c r="G13" i="13" l="1"/>
  <c r="B11" i="8"/>
  <c r="G21" i="13"/>
</calcChain>
</file>

<file path=xl/sharedStrings.xml><?xml version="1.0" encoding="utf-8"?>
<sst xmlns="http://schemas.openxmlformats.org/spreadsheetml/2006/main" count="184" uniqueCount="45">
  <si>
    <t>Старший инженер</t>
  </si>
  <si>
    <t>Электромонтер</t>
  </si>
  <si>
    <t>Премия</t>
  </si>
  <si>
    <t>Итого</t>
  </si>
  <si>
    <t>руб.</t>
  </si>
  <si>
    <t>Районный коэффициент</t>
  </si>
  <si>
    <t>Северная надбавка</t>
  </si>
  <si>
    <t>Квартальная премия</t>
  </si>
  <si>
    <t>ИТОГО ФОТ</t>
  </si>
  <si>
    <t>Страховые взносы</t>
  </si>
  <si>
    <t>Страхование от несчастных случаев</t>
  </si>
  <si>
    <t>Накладные расходы</t>
  </si>
  <si>
    <t>Рентабельность</t>
  </si>
  <si>
    <t>Всего без НДС</t>
  </si>
  <si>
    <t>Количество ПУ</t>
  </si>
  <si>
    <t>Инженер</t>
  </si>
  <si>
    <t>Итого расходов на год:</t>
  </si>
  <si>
    <t>КАЛЬКУЛЯЦИЯ ЗАТРАТ</t>
  </si>
  <si>
    <t>Количество ПУ на год:</t>
  </si>
  <si>
    <t>2021 год</t>
  </si>
  <si>
    <t>2022 год</t>
  </si>
  <si>
    <t>2023 год</t>
  </si>
  <si>
    <t>2024 год</t>
  </si>
  <si>
    <t>2025 год</t>
  </si>
  <si>
    <t>Цена обслуживания 1го ПУ в месяц</t>
  </si>
  <si>
    <t>Стоимость обслуживания 1 ПУ в месяц, руб. без НДС</t>
  </si>
  <si>
    <t>чел.</t>
  </si>
  <si>
    <t>1 квартал</t>
  </si>
  <si>
    <t>2 квартал</t>
  </si>
  <si>
    <t>3 квартал</t>
  </si>
  <si>
    <t>4 квартал</t>
  </si>
  <si>
    <t xml:space="preserve">Количество ПУ </t>
  </si>
  <si>
    <t>Стоимость контракта в квартал</t>
  </si>
  <si>
    <t>Стоимость контракта на год</t>
  </si>
  <si>
    <t>Стоимость ежемесячного обслуживания</t>
  </si>
  <si>
    <t>ИТОГО на 5 лет:</t>
  </si>
  <si>
    <t>услуг по техническому обслуживанию ИСКУЭ для нужд АО "ЮТЭК" на 2021 год</t>
  </si>
  <si>
    <t>услуг по техническому обслуживанию ИСКУЭ для нужд АО "ЮТЭК" на 2022 год</t>
  </si>
  <si>
    <t>услуг по техническому обслуживанию ИСКУЭ для нужд АО "ЮТЭК" на 2023 год</t>
  </si>
  <si>
    <t>услуг по техническому обслуживанию ИСКУЭ для нужд АО "ЮТЭК" на 2024 год</t>
  </si>
  <si>
    <t>услуг по техническому обслуживанию ИСКУЭ для нужд АО "ЮТЭК" на 2025 год</t>
  </si>
  <si>
    <t>Расчёт расходов АО "ЮТЭК" на обслуживание ИСУЭЭ на период 2021 - 2025 г.г.</t>
  </si>
  <si>
    <t>Стоимость контракта на год, руб. без НДС</t>
  </si>
  <si>
    <t>Стоимость контракта на год, руб. с НДС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</si>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</sst>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3" fontId="3" fillId="0" borderId="5" xfId="1" applyNumberFormat="1" applyFont="1" applyBorder="1" applyAlignment="1">
      <alignment horizontal="center" vertical="center"/>
    </xf>
    <xf numFmtId="43" fontId="3" fillId="0" borderId="6" xfId="1" applyNumberFormat="1" applyFont="1" applyBorder="1" applyAlignment="1">
      <alignment horizontal="center" vertical="center"/>
    </xf>
    <xf numFmtId="43" fontId="3" fillId="0" borderId="7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K11" sqref="K11"/>
    </sheetView>
  </sheetViews>
  <sheetFormatPr defaultRowHeight="15.75" x14ac:dyDescent="0.25"/>
  <cols>
    <col min="1" max="1" width="12.42578125" style="17" customWidth="1"/>
    <col min="2" max="8" width="16.7109375" style="17" customWidth="1"/>
    <col min="9" max="9" width="16.7109375" style="17" hidden="1" customWidth="1"/>
    <col min="10" max="21" width="16.7109375" style="17" customWidth="1"/>
    <col min="22" max="16384" width="9.140625" style="17"/>
  </cols>
  <sheetData>
    <row r="2" spans="1:9" ht="18.75" x14ac:dyDescent="0.3">
      <c r="B2" s="24" t="s">
        <v>41</v>
      </c>
    </row>
    <row r="4" spans="1:9" ht="63" x14ac:dyDescent="0.25">
      <c r="A4" s="40"/>
      <c r="B4" s="40"/>
      <c r="C4" s="18" t="s">
        <v>14</v>
      </c>
      <c r="D4" s="18" t="s">
        <v>24</v>
      </c>
      <c r="E4" s="18" t="s">
        <v>34</v>
      </c>
      <c r="F4" s="18" t="s">
        <v>32</v>
      </c>
      <c r="G4" s="18" t="s">
        <v>42</v>
      </c>
      <c r="H4" s="18" t="s">
        <v>43</v>
      </c>
    </row>
    <row r="5" spans="1:9" x14ac:dyDescent="0.25">
      <c r="A5" s="28" t="s">
        <v>19</v>
      </c>
      <c r="B5" s="21" t="s">
        <v>27</v>
      </c>
      <c r="C5" s="20">
        <f>1.1*I5</f>
        <v>2030</v>
      </c>
      <c r="D5" s="19">
        <f>'сводный расчет'!B6</f>
        <v>59.45</v>
      </c>
      <c r="E5" s="19">
        <f>C5*D5</f>
        <v>120683.5</v>
      </c>
      <c r="F5" s="19">
        <f>3*E5</f>
        <v>362050.5</v>
      </c>
      <c r="G5" s="29">
        <f>F5+F6+F7+F8</f>
        <v>1496356.5</v>
      </c>
      <c r="H5" s="30">
        <f>G5*1.2</f>
        <v>1795627.8</v>
      </c>
      <c r="I5" s="17">
        <v>1845</v>
      </c>
    </row>
    <row r="6" spans="1:9" x14ac:dyDescent="0.25">
      <c r="A6" s="28"/>
      <c r="B6" s="21" t="s">
        <v>28</v>
      </c>
      <c r="C6" s="20">
        <f t="shared" ref="C6:C24" si="0">1.1*I6</f>
        <v>2053</v>
      </c>
      <c r="D6" s="19">
        <f>D5</f>
        <v>59.45</v>
      </c>
      <c r="E6" s="19">
        <f t="shared" ref="E6:E24" si="1">C6*D6</f>
        <v>122050.85</v>
      </c>
      <c r="F6" s="19">
        <f t="shared" ref="F6:F24" si="2">3*E6</f>
        <v>366152.55</v>
      </c>
      <c r="G6" s="29"/>
      <c r="H6" s="31"/>
      <c r="I6" s="17">
        <v>1866</v>
      </c>
    </row>
    <row r="7" spans="1:9" x14ac:dyDescent="0.25">
      <c r="A7" s="28"/>
      <c r="B7" s="21" t="s">
        <v>29</v>
      </c>
      <c r="C7" s="20">
        <f t="shared" si="0"/>
        <v>2111</v>
      </c>
      <c r="D7" s="19">
        <f t="shared" ref="D7:D8" si="3">D6</f>
        <v>59.45</v>
      </c>
      <c r="E7" s="19">
        <f t="shared" si="1"/>
        <v>125498.95</v>
      </c>
      <c r="F7" s="19">
        <f t="shared" si="2"/>
        <v>376496.85</v>
      </c>
      <c r="G7" s="29"/>
      <c r="H7" s="31"/>
      <c r="I7" s="17">
        <v>1919</v>
      </c>
    </row>
    <row r="8" spans="1:9" x14ac:dyDescent="0.25">
      <c r="A8" s="28"/>
      <c r="B8" s="21" t="s">
        <v>30</v>
      </c>
      <c r="C8" s="20">
        <f t="shared" si="0"/>
        <v>2196</v>
      </c>
      <c r="D8" s="19">
        <f t="shared" si="3"/>
        <v>59.45</v>
      </c>
      <c r="E8" s="19">
        <f t="shared" si="1"/>
        <v>130552.2</v>
      </c>
      <c r="F8" s="19">
        <f t="shared" si="2"/>
        <v>391656.6</v>
      </c>
      <c r="G8" s="29"/>
      <c r="H8" s="32"/>
      <c r="I8" s="17">
        <v>1996</v>
      </c>
    </row>
    <row r="9" spans="1:9" x14ac:dyDescent="0.25">
      <c r="A9" s="28" t="s">
        <v>20</v>
      </c>
      <c r="B9" s="21" t="s">
        <v>27</v>
      </c>
      <c r="C9" s="20">
        <f t="shared" si="0"/>
        <v>2365</v>
      </c>
      <c r="D9" s="19">
        <f>'сводный расчет'!F6</f>
        <v>62.05</v>
      </c>
      <c r="E9" s="19">
        <f t="shared" si="1"/>
        <v>146748.25</v>
      </c>
      <c r="F9" s="19">
        <f t="shared" si="2"/>
        <v>440244.75</v>
      </c>
      <c r="G9" s="29">
        <f>F9+F10+F11+F12</f>
        <v>1864664.55</v>
      </c>
      <c r="H9" s="30">
        <f t="shared" ref="H9" si="4">G9*1.2</f>
        <v>2237597.46</v>
      </c>
      <c r="I9" s="17">
        <v>2150</v>
      </c>
    </row>
    <row r="10" spans="1:9" x14ac:dyDescent="0.25">
      <c r="A10" s="28"/>
      <c r="B10" s="21" t="s">
        <v>28</v>
      </c>
      <c r="C10" s="20">
        <f t="shared" si="0"/>
        <v>2493</v>
      </c>
      <c r="D10" s="19">
        <f>D9</f>
        <v>62.05</v>
      </c>
      <c r="E10" s="19">
        <f t="shared" si="1"/>
        <v>154690.65</v>
      </c>
      <c r="F10" s="19">
        <f t="shared" si="2"/>
        <v>464071.95</v>
      </c>
      <c r="G10" s="29"/>
      <c r="H10" s="31"/>
      <c r="I10" s="17">
        <v>2266</v>
      </c>
    </row>
    <row r="11" spans="1:9" x14ac:dyDescent="0.25">
      <c r="A11" s="28"/>
      <c r="B11" s="21" t="s">
        <v>29</v>
      </c>
      <c r="C11" s="20">
        <f t="shared" si="0"/>
        <v>2517</v>
      </c>
      <c r="D11" s="19">
        <f t="shared" ref="D11:D12" si="5">D10</f>
        <v>62.05</v>
      </c>
      <c r="E11" s="19">
        <f t="shared" si="1"/>
        <v>156179.85</v>
      </c>
      <c r="F11" s="19">
        <f t="shared" si="2"/>
        <v>468539.55</v>
      </c>
      <c r="G11" s="29"/>
      <c r="H11" s="31"/>
      <c r="I11" s="17">
        <v>2288</v>
      </c>
    </row>
    <row r="12" spans="1:9" x14ac:dyDescent="0.25">
      <c r="A12" s="28"/>
      <c r="B12" s="21" t="s">
        <v>30</v>
      </c>
      <c r="C12" s="20">
        <f t="shared" si="0"/>
        <v>2642</v>
      </c>
      <c r="D12" s="19">
        <f t="shared" si="5"/>
        <v>62.05</v>
      </c>
      <c r="E12" s="19">
        <f t="shared" si="1"/>
        <v>163936.1</v>
      </c>
      <c r="F12" s="19">
        <f t="shared" si="2"/>
        <v>491808.3</v>
      </c>
      <c r="G12" s="29"/>
      <c r="H12" s="32"/>
      <c r="I12" s="17">
        <v>2402</v>
      </c>
    </row>
    <row r="13" spans="1:9" x14ac:dyDescent="0.25">
      <c r="A13" s="28" t="s">
        <v>21</v>
      </c>
      <c r="B13" s="21" t="s">
        <v>27</v>
      </c>
      <c r="C13" s="20">
        <f t="shared" si="0"/>
        <v>3611</v>
      </c>
      <c r="D13" s="19">
        <f>'сводный расчет'!J6</f>
        <v>63.71</v>
      </c>
      <c r="E13" s="19">
        <f t="shared" si="1"/>
        <v>230056.81</v>
      </c>
      <c r="F13" s="19">
        <f t="shared" si="2"/>
        <v>690170.43</v>
      </c>
      <c r="G13" s="29">
        <f>F13+F14+F15+F16</f>
        <v>3072414.75</v>
      </c>
      <c r="H13" s="30">
        <f t="shared" ref="H13" si="6">G13*1.2</f>
        <v>3686897.7</v>
      </c>
      <c r="I13" s="17">
        <v>3283</v>
      </c>
    </row>
    <row r="14" spans="1:9" x14ac:dyDescent="0.25">
      <c r="A14" s="28"/>
      <c r="B14" s="21" t="s">
        <v>28</v>
      </c>
      <c r="C14" s="20">
        <f t="shared" si="0"/>
        <v>3790</v>
      </c>
      <c r="D14" s="19">
        <f>D13</f>
        <v>63.71</v>
      </c>
      <c r="E14" s="19">
        <f t="shared" si="1"/>
        <v>241460.9</v>
      </c>
      <c r="F14" s="19">
        <f t="shared" si="2"/>
        <v>724382.7</v>
      </c>
      <c r="G14" s="29"/>
      <c r="H14" s="31"/>
      <c r="I14" s="17">
        <v>3445</v>
      </c>
    </row>
    <row r="15" spans="1:9" x14ac:dyDescent="0.25">
      <c r="A15" s="28"/>
      <c r="B15" s="21" t="s">
        <v>29</v>
      </c>
      <c r="C15" s="20">
        <f t="shared" si="0"/>
        <v>3924</v>
      </c>
      <c r="D15" s="19">
        <f t="shared" ref="D15:D16" si="7">D14</f>
        <v>63.71</v>
      </c>
      <c r="E15" s="19">
        <f t="shared" si="1"/>
        <v>249998.04</v>
      </c>
      <c r="F15" s="19">
        <f t="shared" si="2"/>
        <v>749994.12</v>
      </c>
      <c r="G15" s="29"/>
      <c r="H15" s="31"/>
      <c r="I15" s="17">
        <v>3567</v>
      </c>
    </row>
    <row r="16" spans="1:9" x14ac:dyDescent="0.25">
      <c r="A16" s="28"/>
      <c r="B16" s="21" t="s">
        <v>30</v>
      </c>
      <c r="C16" s="20">
        <f t="shared" si="0"/>
        <v>4750</v>
      </c>
      <c r="D16" s="19">
        <f t="shared" si="7"/>
        <v>63.71</v>
      </c>
      <c r="E16" s="19">
        <f t="shared" si="1"/>
        <v>302622.5</v>
      </c>
      <c r="F16" s="19">
        <f t="shared" si="2"/>
        <v>907867.5</v>
      </c>
      <c r="G16" s="29"/>
      <c r="H16" s="32"/>
      <c r="I16" s="17">
        <v>4318</v>
      </c>
    </row>
    <row r="17" spans="1:9" x14ac:dyDescent="0.25">
      <c r="A17" s="28" t="s">
        <v>22</v>
      </c>
      <c r="B17" s="21" t="s">
        <v>27</v>
      </c>
      <c r="C17" s="20">
        <f t="shared" si="0"/>
        <v>4791</v>
      </c>
      <c r="D17" s="19">
        <f>'сводный расчет'!N6</f>
        <v>65.58</v>
      </c>
      <c r="E17" s="19">
        <f t="shared" si="1"/>
        <v>314193.78000000003</v>
      </c>
      <c r="F17" s="19">
        <f t="shared" si="2"/>
        <v>942581.34</v>
      </c>
      <c r="G17" s="29">
        <f>F17+F18+F19+F20</f>
        <v>3919454.28</v>
      </c>
      <c r="H17" s="30">
        <f t="shared" ref="H17" si="8">G17*1.2</f>
        <v>4703345.1399999997</v>
      </c>
      <c r="I17" s="17">
        <v>4355</v>
      </c>
    </row>
    <row r="18" spans="1:9" x14ac:dyDescent="0.25">
      <c r="A18" s="28"/>
      <c r="B18" s="21" t="s">
        <v>28</v>
      </c>
      <c r="C18" s="20">
        <f t="shared" si="0"/>
        <v>4994</v>
      </c>
      <c r="D18" s="19">
        <f>D17</f>
        <v>65.58</v>
      </c>
      <c r="E18" s="19">
        <f t="shared" si="1"/>
        <v>327506.52</v>
      </c>
      <c r="F18" s="19">
        <f t="shared" si="2"/>
        <v>982519.56</v>
      </c>
      <c r="G18" s="29"/>
      <c r="H18" s="31"/>
      <c r="I18" s="17">
        <v>4540</v>
      </c>
    </row>
    <row r="19" spans="1:9" x14ac:dyDescent="0.25">
      <c r="A19" s="28"/>
      <c r="B19" s="21" t="s">
        <v>29</v>
      </c>
      <c r="C19" s="20">
        <f t="shared" si="0"/>
        <v>5019</v>
      </c>
      <c r="D19" s="19">
        <f t="shared" ref="D19:D20" si="9">D18</f>
        <v>65.58</v>
      </c>
      <c r="E19" s="19">
        <f t="shared" si="1"/>
        <v>329146.02</v>
      </c>
      <c r="F19" s="19">
        <f t="shared" si="2"/>
        <v>987438.06</v>
      </c>
      <c r="G19" s="29"/>
      <c r="H19" s="31"/>
      <c r="I19" s="17">
        <v>4563</v>
      </c>
    </row>
    <row r="20" spans="1:9" x14ac:dyDescent="0.25">
      <c r="A20" s="28"/>
      <c r="B20" s="21" t="s">
        <v>30</v>
      </c>
      <c r="C20" s="20">
        <f t="shared" si="0"/>
        <v>5118</v>
      </c>
      <c r="D20" s="19">
        <f t="shared" si="9"/>
        <v>65.58</v>
      </c>
      <c r="E20" s="19">
        <f t="shared" si="1"/>
        <v>335638.44</v>
      </c>
      <c r="F20" s="19">
        <f t="shared" si="2"/>
        <v>1006915.32</v>
      </c>
      <c r="G20" s="29"/>
      <c r="H20" s="32"/>
      <c r="I20" s="17">
        <v>4653</v>
      </c>
    </row>
    <row r="21" spans="1:9" x14ac:dyDescent="0.25">
      <c r="A21" s="28" t="s">
        <v>23</v>
      </c>
      <c r="B21" s="21" t="s">
        <v>27</v>
      </c>
      <c r="C21" s="20">
        <f t="shared" si="0"/>
        <v>5245</v>
      </c>
      <c r="D21" s="19">
        <f>'сводный расчет'!R6</f>
        <v>66.42</v>
      </c>
      <c r="E21" s="19">
        <f t="shared" si="1"/>
        <v>348372.9</v>
      </c>
      <c r="F21" s="19">
        <f t="shared" si="2"/>
        <v>1045118.7</v>
      </c>
      <c r="G21" s="29">
        <f>F21+F22+F23+F24</f>
        <v>4245234.3</v>
      </c>
      <c r="H21" s="30">
        <f t="shared" ref="H21" si="10">G21*1.2</f>
        <v>5094281.16</v>
      </c>
      <c r="I21" s="17">
        <v>4768</v>
      </c>
    </row>
    <row r="22" spans="1:9" x14ac:dyDescent="0.25">
      <c r="A22" s="28"/>
      <c r="B22" s="21" t="s">
        <v>28</v>
      </c>
      <c r="C22" s="20">
        <f t="shared" si="0"/>
        <v>5272</v>
      </c>
      <c r="D22" s="19">
        <f>D21</f>
        <v>66.42</v>
      </c>
      <c r="E22" s="19">
        <f t="shared" si="1"/>
        <v>350166.24</v>
      </c>
      <c r="F22" s="19">
        <f t="shared" si="2"/>
        <v>1050498.72</v>
      </c>
      <c r="G22" s="29"/>
      <c r="H22" s="31"/>
      <c r="I22" s="17">
        <v>4793</v>
      </c>
    </row>
    <row r="23" spans="1:9" x14ac:dyDescent="0.25">
      <c r="A23" s="28"/>
      <c r="B23" s="21" t="s">
        <v>29</v>
      </c>
      <c r="C23" s="20">
        <f t="shared" si="0"/>
        <v>5339</v>
      </c>
      <c r="D23" s="19">
        <f t="shared" ref="D23:D24" si="11">D22</f>
        <v>66.42</v>
      </c>
      <c r="E23" s="19">
        <f t="shared" si="1"/>
        <v>354616.38</v>
      </c>
      <c r="F23" s="19">
        <f t="shared" si="2"/>
        <v>1063849.1399999999</v>
      </c>
      <c r="G23" s="29"/>
      <c r="H23" s="31"/>
      <c r="I23" s="17">
        <v>4854</v>
      </c>
    </row>
    <row r="24" spans="1:9" x14ac:dyDescent="0.25">
      <c r="A24" s="28"/>
      <c r="B24" s="21" t="s">
        <v>30</v>
      </c>
      <c r="C24" s="20">
        <f t="shared" si="0"/>
        <v>5449</v>
      </c>
      <c r="D24" s="19">
        <f t="shared" si="11"/>
        <v>66.42</v>
      </c>
      <c r="E24" s="19">
        <f t="shared" si="1"/>
        <v>361922.58</v>
      </c>
      <c r="F24" s="19">
        <f t="shared" si="2"/>
        <v>1085767.74</v>
      </c>
      <c r="G24" s="29"/>
      <c r="H24" s="32"/>
      <c r="I24" s="17">
        <v>4954</v>
      </c>
    </row>
    <row r="26" spans="1:9" x14ac:dyDescent="0.25">
      <c r="B26" s="25" t="s">
        <v>44</v>
      </c>
      <c r="C26" s="26"/>
      <c r="D26" s="27"/>
      <c r="E26" s="27"/>
      <c r="F26" s="27"/>
      <c r="G26" s="27">
        <f>G5+G9+G13+G17+G21</f>
        <v>14598124.380000001</v>
      </c>
      <c r="H26" s="27">
        <f>H5+H9+H13+H17+H21</f>
        <v>17517749.260000002</v>
      </c>
    </row>
  </sheetData>
  <mergeCells count="15">
    <mergeCell ref="H5:H8"/>
    <mergeCell ref="H9:H12"/>
    <mergeCell ref="H13:H16"/>
    <mergeCell ref="H17:H20"/>
    <mergeCell ref="H21:H24"/>
    <mergeCell ref="A17:A20"/>
    <mergeCell ref="G17:G20"/>
    <mergeCell ref="A21:A24"/>
    <mergeCell ref="G21:G24"/>
    <mergeCell ref="G5:G8"/>
    <mergeCell ref="A5:A8"/>
    <mergeCell ref="A9:A12"/>
    <mergeCell ref="G9:G12"/>
    <mergeCell ref="A13:A16"/>
    <mergeCell ref="G13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1"/>
  <sheetViews>
    <sheetView workbookViewId="0">
      <selection activeCell="U6" sqref="U6"/>
    </sheetView>
  </sheetViews>
  <sheetFormatPr defaultRowHeight="15" x14ac:dyDescent="0.25"/>
  <cols>
    <col min="1" max="1" width="40.85546875" customWidth="1"/>
    <col min="2" max="21" width="16.7109375" customWidth="1"/>
  </cols>
  <sheetData>
    <row r="3" spans="1:21" x14ac:dyDescent="0.25">
      <c r="A3" s="3"/>
      <c r="B3" s="33" t="s">
        <v>19</v>
      </c>
      <c r="C3" s="34"/>
      <c r="D3" s="34"/>
      <c r="E3" s="35"/>
      <c r="F3" s="33" t="s">
        <v>20</v>
      </c>
      <c r="G3" s="34"/>
      <c r="H3" s="34"/>
      <c r="I3" s="35"/>
      <c r="J3" s="33" t="s">
        <v>21</v>
      </c>
      <c r="K3" s="34"/>
      <c r="L3" s="34"/>
      <c r="M3" s="35"/>
      <c r="N3" s="33" t="s">
        <v>22</v>
      </c>
      <c r="O3" s="34"/>
      <c r="P3" s="34"/>
      <c r="Q3" s="35"/>
      <c r="R3" s="33" t="s">
        <v>23</v>
      </c>
      <c r="S3" s="34"/>
      <c r="T3" s="34"/>
      <c r="U3" s="35"/>
    </row>
    <row r="4" spans="1:21" x14ac:dyDescent="0.25">
      <c r="A4" s="3"/>
      <c r="B4" s="13" t="s">
        <v>27</v>
      </c>
      <c r="C4" s="13" t="s">
        <v>28</v>
      </c>
      <c r="D4" s="13" t="s">
        <v>29</v>
      </c>
      <c r="E4" s="13" t="s">
        <v>30</v>
      </c>
      <c r="F4" s="13" t="s">
        <v>27</v>
      </c>
      <c r="G4" s="13" t="s">
        <v>28</v>
      </c>
      <c r="H4" s="13" t="s">
        <v>29</v>
      </c>
      <c r="I4" s="13" t="s">
        <v>30</v>
      </c>
      <c r="J4" s="13" t="s">
        <v>27</v>
      </c>
      <c r="K4" s="13" t="s">
        <v>28</v>
      </c>
      <c r="L4" s="13" t="s">
        <v>29</v>
      </c>
      <c r="M4" s="13" t="s">
        <v>30</v>
      </c>
      <c r="N4" s="13" t="s">
        <v>27</v>
      </c>
      <c r="O4" s="13" t="s">
        <v>28</v>
      </c>
      <c r="P4" s="13" t="s">
        <v>29</v>
      </c>
      <c r="Q4" s="13" t="s">
        <v>30</v>
      </c>
      <c r="R4" s="13" t="s">
        <v>27</v>
      </c>
      <c r="S4" s="13" t="s">
        <v>28</v>
      </c>
      <c r="T4" s="13" t="s">
        <v>29</v>
      </c>
      <c r="U4" s="13" t="s">
        <v>30</v>
      </c>
    </row>
    <row r="5" spans="1:21" x14ac:dyDescent="0.25">
      <c r="A5" s="14" t="s">
        <v>31</v>
      </c>
      <c r="B5" s="12">
        <f>1845*1.1</f>
        <v>2030</v>
      </c>
      <c r="C5" s="12">
        <f>1.1*1866</f>
        <v>2053</v>
      </c>
      <c r="D5" s="12">
        <f>1.1*1919</f>
        <v>2111</v>
      </c>
      <c r="E5" s="12">
        <f>1.1*1996</f>
        <v>2196</v>
      </c>
      <c r="F5" s="12">
        <f>1.1*2150</f>
        <v>2365</v>
      </c>
      <c r="G5" s="12">
        <f>1.1*2266</f>
        <v>2493</v>
      </c>
      <c r="H5" s="12">
        <f>1.1*2288</f>
        <v>2517</v>
      </c>
      <c r="I5" s="12">
        <f>1.1*2402</f>
        <v>2642</v>
      </c>
      <c r="J5" s="12">
        <f>1.1*3283</f>
        <v>3611</v>
      </c>
      <c r="K5" s="12">
        <f>1.1*3445</f>
        <v>3790</v>
      </c>
      <c r="L5" s="12">
        <f>1.1*3567</f>
        <v>3924</v>
      </c>
      <c r="M5" s="12">
        <f>1.1*4318</f>
        <v>4750</v>
      </c>
      <c r="N5" s="12">
        <f>4355*1.1</f>
        <v>4791</v>
      </c>
      <c r="O5" s="12">
        <f>1.1*4540</f>
        <v>4994</v>
      </c>
      <c r="P5" s="12">
        <f>1.1*4563</f>
        <v>5019</v>
      </c>
      <c r="Q5" s="12">
        <f>1.1*4653</f>
        <v>5118</v>
      </c>
      <c r="R5" s="12">
        <f>1.1*4768</f>
        <v>5245</v>
      </c>
      <c r="S5" s="12">
        <f>1.1*4793</f>
        <v>5272</v>
      </c>
      <c r="T5" s="12">
        <f>1.1*4854</f>
        <v>5339</v>
      </c>
      <c r="U5" s="12">
        <f>1.1*4954</f>
        <v>5449</v>
      </c>
    </row>
    <row r="6" spans="1:21" x14ac:dyDescent="0.25">
      <c r="A6" s="14" t="s">
        <v>24</v>
      </c>
      <c r="B6" s="4">
        <f>'2021'!F25</f>
        <v>59.45</v>
      </c>
      <c r="C6" s="4">
        <f>B6</f>
        <v>59.45</v>
      </c>
      <c r="D6" s="4">
        <f t="shared" ref="D6:E6" si="0">C6</f>
        <v>59.45</v>
      </c>
      <c r="E6" s="4">
        <f t="shared" si="0"/>
        <v>59.45</v>
      </c>
      <c r="F6" s="4">
        <f>'2022'!F25</f>
        <v>62.05</v>
      </c>
      <c r="G6" s="4">
        <f>F6</f>
        <v>62.05</v>
      </c>
      <c r="H6" s="4">
        <f t="shared" ref="H6:I6" si="1">G6</f>
        <v>62.05</v>
      </c>
      <c r="I6" s="4">
        <f t="shared" si="1"/>
        <v>62.05</v>
      </c>
      <c r="J6" s="4">
        <f>'2023'!F25</f>
        <v>63.71</v>
      </c>
      <c r="K6" s="4">
        <f>J6</f>
        <v>63.71</v>
      </c>
      <c r="L6" s="4">
        <f>K6</f>
        <v>63.71</v>
      </c>
      <c r="M6" s="4">
        <f t="shared" ref="M6" si="2">L6</f>
        <v>63.71</v>
      </c>
      <c r="N6" s="4">
        <f>'2024'!F25</f>
        <v>65.58</v>
      </c>
      <c r="O6" s="4">
        <f>N6</f>
        <v>65.58</v>
      </c>
      <c r="P6" s="4">
        <f t="shared" ref="P6:Q6" si="3">O6</f>
        <v>65.58</v>
      </c>
      <c r="Q6" s="4">
        <f t="shared" si="3"/>
        <v>65.58</v>
      </c>
      <c r="R6" s="4">
        <f>'2025'!F25</f>
        <v>66.42</v>
      </c>
      <c r="S6" s="4">
        <f>R6</f>
        <v>66.42</v>
      </c>
      <c r="T6" s="4">
        <f t="shared" ref="T6:U6" si="4">S6</f>
        <v>66.42</v>
      </c>
      <c r="U6" s="4">
        <f t="shared" si="4"/>
        <v>66.42</v>
      </c>
    </row>
    <row r="7" spans="1:21" x14ac:dyDescent="0.25">
      <c r="A7" s="14" t="s">
        <v>34</v>
      </c>
      <c r="B7" s="4">
        <f>B5*B6</f>
        <v>120683.5</v>
      </c>
      <c r="C7" s="4">
        <f t="shared" ref="C7:E7" si="5">C5*C6</f>
        <v>122050.85</v>
      </c>
      <c r="D7" s="4">
        <f t="shared" si="5"/>
        <v>125498.95</v>
      </c>
      <c r="E7" s="4">
        <f t="shared" si="5"/>
        <v>130552.2</v>
      </c>
      <c r="F7" s="4">
        <f>F5*F6</f>
        <v>146748.25</v>
      </c>
      <c r="G7" s="4">
        <f t="shared" ref="G7:I7" si="6">G5*G6</f>
        <v>154690.65</v>
      </c>
      <c r="H7" s="4">
        <f t="shared" si="6"/>
        <v>156179.85</v>
      </c>
      <c r="I7" s="4">
        <f t="shared" si="6"/>
        <v>163936.1</v>
      </c>
      <c r="J7" s="4">
        <f>J5*J6</f>
        <v>230056.81</v>
      </c>
      <c r="K7" s="4">
        <f t="shared" ref="K7:M7" si="7">K5*K6</f>
        <v>241460.9</v>
      </c>
      <c r="L7" s="4">
        <f t="shared" si="7"/>
        <v>249998.04</v>
      </c>
      <c r="M7" s="4">
        <f t="shared" si="7"/>
        <v>302622.5</v>
      </c>
      <c r="N7" s="4">
        <f>N5*N6</f>
        <v>314193.78000000003</v>
      </c>
      <c r="O7" s="4">
        <f t="shared" ref="O7:Q7" si="8">O5*O6</f>
        <v>327506.52</v>
      </c>
      <c r="P7" s="4">
        <f t="shared" si="8"/>
        <v>329146.02</v>
      </c>
      <c r="Q7" s="4">
        <f t="shared" si="8"/>
        <v>335638.44</v>
      </c>
      <c r="R7" s="4">
        <f>R5*R6</f>
        <v>348372.9</v>
      </c>
      <c r="S7" s="4">
        <f t="shared" ref="S7:U7" si="9">S5*S6</f>
        <v>350166.24</v>
      </c>
      <c r="T7" s="4">
        <f t="shared" si="9"/>
        <v>354616.38</v>
      </c>
      <c r="U7" s="4">
        <f t="shared" si="9"/>
        <v>361922.58</v>
      </c>
    </row>
    <row r="8" spans="1:21" x14ac:dyDescent="0.25">
      <c r="A8" s="14" t="s">
        <v>32</v>
      </c>
      <c r="B8" s="4">
        <f>B7*3</f>
        <v>362050.5</v>
      </c>
      <c r="C8" s="4">
        <f t="shared" ref="C8:E8" si="10">C7*3</f>
        <v>366152.55</v>
      </c>
      <c r="D8" s="4">
        <f t="shared" si="10"/>
        <v>376496.85</v>
      </c>
      <c r="E8" s="4">
        <f t="shared" si="10"/>
        <v>391656.6</v>
      </c>
      <c r="F8" s="4">
        <f>3*F7</f>
        <v>440244.75</v>
      </c>
      <c r="G8" s="4">
        <f t="shared" ref="G8:I8" si="11">3*G7</f>
        <v>464071.95</v>
      </c>
      <c r="H8" s="4">
        <f t="shared" si="11"/>
        <v>468539.55</v>
      </c>
      <c r="I8" s="4">
        <f t="shared" si="11"/>
        <v>491808.3</v>
      </c>
      <c r="J8" s="4">
        <f>3*J7</f>
        <v>690170.43</v>
      </c>
      <c r="K8" s="4">
        <f t="shared" ref="K8:M8" si="12">3*K7</f>
        <v>724382.7</v>
      </c>
      <c r="L8" s="4">
        <f t="shared" si="12"/>
        <v>749994.12</v>
      </c>
      <c r="M8" s="4">
        <f t="shared" si="12"/>
        <v>907867.5</v>
      </c>
      <c r="N8" s="4">
        <f>N7*3</f>
        <v>942581.34</v>
      </c>
      <c r="O8" s="4">
        <f t="shared" ref="O8:Q8" si="13">O7*3</f>
        <v>982519.56</v>
      </c>
      <c r="P8" s="4">
        <f t="shared" si="13"/>
        <v>987438.06</v>
      </c>
      <c r="Q8" s="4">
        <f t="shared" si="13"/>
        <v>1006915.32</v>
      </c>
      <c r="R8" s="4">
        <f>3*R7</f>
        <v>1045118.7</v>
      </c>
      <c r="S8" s="4">
        <f t="shared" ref="S8:U8" si="14">3*S7</f>
        <v>1050498.72</v>
      </c>
      <c r="T8" s="4">
        <f t="shared" si="14"/>
        <v>1063849.1399999999</v>
      </c>
      <c r="U8" s="4">
        <f t="shared" si="14"/>
        <v>1085767.74</v>
      </c>
    </row>
    <row r="9" spans="1:21" x14ac:dyDescent="0.25">
      <c r="A9" s="14" t="s">
        <v>33</v>
      </c>
      <c r="B9" s="36">
        <f>B8+C8+D8+E8</f>
        <v>1496356.5</v>
      </c>
      <c r="C9" s="37"/>
      <c r="D9" s="37"/>
      <c r="E9" s="38"/>
      <c r="F9" s="36">
        <f>F8+G8+H8+I8</f>
        <v>1864664.55</v>
      </c>
      <c r="G9" s="37"/>
      <c r="H9" s="37"/>
      <c r="I9" s="38"/>
      <c r="J9" s="36">
        <f>J8+K8+L8+M8</f>
        <v>3072414.75</v>
      </c>
      <c r="K9" s="37"/>
      <c r="L9" s="37"/>
      <c r="M9" s="38"/>
      <c r="N9" s="36">
        <f>N8+O8+P8+Q8</f>
        <v>3919454.28</v>
      </c>
      <c r="O9" s="37"/>
      <c r="P9" s="37"/>
      <c r="Q9" s="38"/>
      <c r="R9" s="36">
        <f>R8+S8+T8+U8</f>
        <v>4245234.3</v>
      </c>
      <c r="S9" s="37"/>
      <c r="T9" s="37"/>
      <c r="U9" s="38"/>
    </row>
    <row r="11" spans="1:21" x14ac:dyDescent="0.25">
      <c r="A11" s="22" t="s">
        <v>35</v>
      </c>
      <c r="B11" s="1">
        <f>B9+F9+J9+N9+R9</f>
        <v>14598124.380000001</v>
      </c>
    </row>
  </sheetData>
  <mergeCells count="10">
    <mergeCell ref="N3:Q3"/>
    <mergeCell ref="N9:Q9"/>
    <mergeCell ref="R3:U3"/>
    <mergeCell ref="R9:U9"/>
    <mergeCell ref="B3:E3"/>
    <mergeCell ref="B9:E9"/>
    <mergeCell ref="F3:I3"/>
    <mergeCell ref="F9:I9"/>
    <mergeCell ref="J3:M3"/>
    <mergeCell ref="J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="115" zoomScaleNormal="100" zoomScaleSheetLayoutView="115" workbookViewId="0">
      <selection activeCell="D4" sqref="D4"/>
    </sheetView>
  </sheetViews>
  <sheetFormatPr defaultRowHeight="15" x14ac:dyDescent="0.25"/>
  <cols>
    <col min="1" max="1" width="9.140625" style="11"/>
    <col min="2" max="2" width="36" style="9" customWidth="1"/>
    <col min="3" max="3" width="12" style="11" customWidth="1"/>
    <col min="4" max="4" width="9.7109375" style="7" customWidth="1"/>
    <col min="5" max="5" width="14" style="7" customWidth="1"/>
    <col min="6" max="6" width="16.42578125" style="7" customWidth="1"/>
    <col min="7" max="7" width="9.140625" style="2" customWidth="1"/>
    <col min="8" max="16384" width="9.140625" style="2"/>
  </cols>
  <sheetData>
    <row r="1" spans="1:6" x14ac:dyDescent="0.25">
      <c r="B1" s="39" t="s">
        <v>17</v>
      </c>
      <c r="C1" s="39"/>
      <c r="D1" s="39"/>
      <c r="E1" s="39"/>
      <c r="F1" s="39"/>
    </row>
    <row r="2" spans="1:6" x14ac:dyDescent="0.25">
      <c r="B2" s="39" t="s">
        <v>36</v>
      </c>
      <c r="C2" s="39"/>
      <c r="D2" s="39"/>
      <c r="E2" s="39"/>
      <c r="F2" s="39"/>
    </row>
    <row r="4" spans="1:6" x14ac:dyDescent="0.25">
      <c r="A4" s="10">
        <v>1</v>
      </c>
      <c r="B4" s="8" t="s">
        <v>0</v>
      </c>
      <c r="C4" s="10" t="s">
        <v>26</v>
      </c>
      <c r="D4" s="23">
        <v>0.08</v>
      </c>
      <c r="E4" s="4">
        <v>22079</v>
      </c>
      <c r="F4" s="4">
        <f>D4*E4</f>
        <v>1766.32</v>
      </c>
    </row>
    <row r="5" spans="1:6" x14ac:dyDescent="0.25">
      <c r="A5" s="10">
        <v>2</v>
      </c>
      <c r="B5" s="8" t="s">
        <v>15</v>
      </c>
      <c r="C5" s="10" t="s">
        <v>26</v>
      </c>
      <c r="D5" s="23">
        <v>0.14000000000000001</v>
      </c>
      <c r="E5" s="4">
        <v>17265</v>
      </c>
      <c r="F5" s="4">
        <f t="shared" ref="F5:F6" si="0">D5*E5</f>
        <v>2417.1</v>
      </c>
    </row>
    <row r="6" spans="1:6" x14ac:dyDescent="0.25">
      <c r="A6" s="10">
        <v>3</v>
      </c>
      <c r="B6" s="8" t="s">
        <v>1</v>
      </c>
      <c r="C6" s="10" t="s">
        <v>26</v>
      </c>
      <c r="D6" s="23">
        <v>0.22</v>
      </c>
      <c r="E6" s="4">
        <v>14579</v>
      </c>
      <c r="F6" s="4">
        <f t="shared" si="0"/>
        <v>3207.38</v>
      </c>
    </row>
    <row r="7" spans="1:6" x14ac:dyDescent="0.25">
      <c r="A7" s="10"/>
      <c r="B7" s="8" t="s">
        <v>3</v>
      </c>
      <c r="C7" s="10" t="s">
        <v>4</v>
      </c>
      <c r="D7" s="4"/>
      <c r="E7" s="4"/>
      <c r="F7" s="4">
        <f>SUM(F4:F6)</f>
        <v>7390.8</v>
      </c>
    </row>
    <row r="8" spans="1:6" x14ac:dyDescent="0.25">
      <c r="A8" s="10">
        <v>4</v>
      </c>
      <c r="B8" s="8" t="s">
        <v>2</v>
      </c>
      <c r="C8" s="10"/>
      <c r="D8" s="5">
        <v>0.75</v>
      </c>
      <c r="E8" s="4"/>
      <c r="F8" s="4">
        <f>0.75*F7</f>
        <v>5543.1</v>
      </c>
    </row>
    <row r="9" spans="1:6" x14ac:dyDescent="0.25">
      <c r="A9" s="10"/>
      <c r="B9" s="8" t="s">
        <v>3</v>
      </c>
      <c r="C9" s="10"/>
      <c r="D9" s="5"/>
      <c r="E9" s="4"/>
      <c r="F9" s="4">
        <f>F7+F8</f>
        <v>12933.9</v>
      </c>
    </row>
    <row r="10" spans="1:6" x14ac:dyDescent="0.25">
      <c r="A10" s="10">
        <v>5</v>
      </c>
      <c r="B10" s="8" t="s">
        <v>5</v>
      </c>
      <c r="C10" s="10"/>
      <c r="D10" s="5">
        <v>0.7</v>
      </c>
      <c r="E10" s="4"/>
      <c r="F10" s="4">
        <f>0.7*F9</f>
        <v>9053.73</v>
      </c>
    </row>
    <row r="11" spans="1:6" x14ac:dyDescent="0.25">
      <c r="A11" s="10">
        <v>6</v>
      </c>
      <c r="B11" s="8" t="s">
        <v>6</v>
      </c>
      <c r="C11" s="10"/>
      <c r="D11" s="5">
        <v>0.5</v>
      </c>
      <c r="E11" s="4"/>
      <c r="F11" s="4">
        <f>0.5*F9</f>
        <v>6466.95</v>
      </c>
    </row>
    <row r="12" spans="1:6" x14ac:dyDescent="0.25">
      <c r="A12" s="10">
        <v>7</v>
      </c>
      <c r="B12" s="8" t="s">
        <v>7</v>
      </c>
      <c r="C12" s="10"/>
      <c r="D12" s="5">
        <v>0.5</v>
      </c>
      <c r="E12" s="4"/>
      <c r="F12" s="4">
        <v>32635.33</v>
      </c>
    </row>
    <row r="13" spans="1:6" x14ac:dyDescent="0.25">
      <c r="A13" s="10">
        <v>8</v>
      </c>
      <c r="B13" s="8" t="s">
        <v>8</v>
      </c>
      <c r="C13" s="10"/>
      <c r="D13" s="4"/>
      <c r="E13" s="4"/>
      <c r="F13" s="4">
        <f>F12+F11+F10+F9</f>
        <v>61089.91</v>
      </c>
    </row>
    <row r="14" spans="1:6" x14ac:dyDescent="0.25">
      <c r="A14" s="10"/>
      <c r="B14" s="8"/>
      <c r="C14" s="10"/>
      <c r="D14" s="4"/>
      <c r="E14" s="4"/>
      <c r="F14" s="4"/>
    </row>
    <row r="15" spans="1:6" x14ac:dyDescent="0.25">
      <c r="A15" s="10">
        <v>9</v>
      </c>
      <c r="B15" s="8" t="s">
        <v>9</v>
      </c>
      <c r="C15" s="10"/>
      <c r="D15" s="5">
        <v>0.3</v>
      </c>
      <c r="E15" s="4"/>
      <c r="F15" s="4">
        <f>0.3*F13</f>
        <v>18326.97</v>
      </c>
    </row>
    <row r="16" spans="1:6" x14ac:dyDescent="0.25">
      <c r="A16" s="10">
        <v>10</v>
      </c>
      <c r="B16" s="8" t="s">
        <v>10</v>
      </c>
      <c r="C16" s="10"/>
      <c r="D16" s="6">
        <v>7.0000000000000001E-3</v>
      </c>
      <c r="E16" s="4"/>
      <c r="F16" s="4">
        <f>0.007*F13</f>
        <v>427.63</v>
      </c>
    </row>
    <row r="17" spans="1:6" x14ac:dyDescent="0.25">
      <c r="A17" s="10"/>
      <c r="B17" s="8"/>
      <c r="C17" s="10"/>
      <c r="D17" s="16"/>
      <c r="E17" s="4"/>
      <c r="F17" s="4"/>
    </row>
    <row r="18" spans="1:6" x14ac:dyDescent="0.25">
      <c r="A18" s="10">
        <v>11</v>
      </c>
      <c r="B18" s="8" t="s">
        <v>11</v>
      </c>
      <c r="C18" s="10"/>
      <c r="D18" s="5">
        <v>0.68</v>
      </c>
      <c r="E18" s="4"/>
      <c r="F18" s="4">
        <f>F13*0.68</f>
        <v>41541.14</v>
      </c>
    </row>
    <row r="19" spans="1:6" x14ac:dyDescent="0.25">
      <c r="A19" s="10">
        <v>12</v>
      </c>
      <c r="B19" s="8" t="s">
        <v>12</v>
      </c>
      <c r="C19" s="10"/>
      <c r="D19" s="5">
        <v>0.15</v>
      </c>
      <c r="E19" s="4"/>
      <c r="F19" s="4">
        <f>0.15*F13</f>
        <v>9163.49</v>
      </c>
    </row>
    <row r="20" spans="1:6" x14ac:dyDescent="0.25">
      <c r="A20" s="10"/>
      <c r="B20" s="8"/>
      <c r="C20" s="10"/>
      <c r="D20" s="4"/>
      <c r="E20" s="4"/>
      <c r="F20" s="4"/>
    </row>
    <row r="21" spans="1:6" x14ac:dyDescent="0.25">
      <c r="A21" s="10">
        <v>13</v>
      </c>
      <c r="B21" s="8" t="s">
        <v>13</v>
      </c>
      <c r="C21" s="10"/>
      <c r="D21" s="4"/>
      <c r="E21" s="4"/>
      <c r="F21" s="4">
        <f>F16+F15+F13+F18+F19</f>
        <v>130549.14</v>
      </c>
    </row>
    <row r="22" spans="1:6" x14ac:dyDescent="0.25">
      <c r="A22" s="10"/>
      <c r="B22" s="8"/>
      <c r="C22" s="10"/>
      <c r="D22" s="4"/>
      <c r="E22" s="4"/>
      <c r="F22" s="4"/>
    </row>
    <row r="23" spans="1:6" x14ac:dyDescent="0.25">
      <c r="A23" s="10">
        <v>14</v>
      </c>
      <c r="B23" s="8" t="s">
        <v>16</v>
      </c>
      <c r="C23" s="10"/>
      <c r="D23" s="4"/>
      <c r="E23" s="4"/>
      <c r="F23" s="4">
        <f>F21*12</f>
        <v>1566589.68</v>
      </c>
    </row>
    <row r="24" spans="1:6" x14ac:dyDescent="0.25">
      <c r="A24" s="10">
        <v>15</v>
      </c>
      <c r="B24" s="8" t="s">
        <v>18</v>
      </c>
      <c r="C24" s="10"/>
      <c r="D24" s="12">
        <f>1.1*1996</f>
        <v>2196</v>
      </c>
      <c r="E24" s="4"/>
      <c r="F24" s="4"/>
    </row>
    <row r="25" spans="1:6" ht="30" x14ac:dyDescent="0.25">
      <c r="A25" s="10">
        <v>16</v>
      </c>
      <c r="B25" s="15" t="s">
        <v>25</v>
      </c>
      <c r="C25" s="10"/>
      <c r="D25" s="4"/>
      <c r="E25" s="4"/>
      <c r="F25" s="4">
        <f>F23/12/D24</f>
        <v>59.45</v>
      </c>
    </row>
  </sheetData>
  <mergeCells count="2">
    <mergeCell ref="B1:F1"/>
    <mergeCell ref="B2:F2"/>
  </mergeCells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115" zoomScaleNormal="100" zoomScaleSheetLayoutView="115" workbookViewId="0">
      <selection activeCell="D4" sqref="D4:D6"/>
    </sheetView>
  </sheetViews>
  <sheetFormatPr defaultRowHeight="15" x14ac:dyDescent="0.25"/>
  <cols>
    <col min="1" max="1" width="9.140625" style="11"/>
    <col min="2" max="2" width="36" style="9" customWidth="1"/>
    <col min="3" max="3" width="12" style="11" customWidth="1"/>
    <col min="4" max="4" width="12.5703125" style="7" customWidth="1"/>
    <col min="5" max="5" width="14" style="7" customWidth="1"/>
    <col min="6" max="6" width="16.42578125" style="7" customWidth="1"/>
    <col min="7" max="7" width="9.140625" style="2" customWidth="1"/>
    <col min="8" max="16384" width="9.140625" style="2"/>
  </cols>
  <sheetData>
    <row r="1" spans="1:6" x14ac:dyDescent="0.25">
      <c r="B1" s="39" t="s">
        <v>17</v>
      </c>
      <c r="C1" s="39"/>
      <c r="D1" s="39"/>
      <c r="E1" s="39"/>
      <c r="F1" s="39"/>
    </row>
    <row r="2" spans="1:6" x14ac:dyDescent="0.25">
      <c r="B2" s="39" t="s">
        <v>37</v>
      </c>
      <c r="C2" s="39"/>
      <c r="D2" s="39"/>
      <c r="E2" s="39"/>
      <c r="F2" s="39"/>
    </row>
    <row r="4" spans="1:6" x14ac:dyDescent="0.25">
      <c r="A4" s="10">
        <v>1</v>
      </c>
      <c r="B4" s="8" t="s">
        <v>0</v>
      </c>
      <c r="C4" s="10" t="s">
        <v>26</v>
      </c>
      <c r="D4" s="23">
        <v>0.08</v>
      </c>
      <c r="E4" s="4">
        <f>1.03*'2021'!E4</f>
        <v>22741.37</v>
      </c>
      <c r="F4" s="4">
        <f>D4*E4</f>
        <v>1819.31</v>
      </c>
    </row>
    <row r="5" spans="1:6" x14ac:dyDescent="0.25">
      <c r="A5" s="10">
        <v>2</v>
      </c>
      <c r="B5" s="8" t="s">
        <v>15</v>
      </c>
      <c r="C5" s="10" t="s">
        <v>26</v>
      </c>
      <c r="D5" s="23">
        <v>0.2</v>
      </c>
      <c r="E5" s="4">
        <f>1.03*'2021'!E5</f>
        <v>17782.95</v>
      </c>
      <c r="F5" s="4">
        <f t="shared" ref="F5:F6" si="0">D5*E5</f>
        <v>3556.59</v>
      </c>
    </row>
    <row r="6" spans="1:6" x14ac:dyDescent="0.25">
      <c r="A6" s="10">
        <v>3</v>
      </c>
      <c r="B6" s="8" t="s">
        <v>1</v>
      </c>
      <c r="C6" s="10" t="s">
        <v>26</v>
      </c>
      <c r="D6" s="23">
        <v>0.40450000000000003</v>
      </c>
      <c r="E6" s="4">
        <f>1.03*'2021'!E6</f>
        <v>15016.37</v>
      </c>
      <c r="F6" s="4">
        <f t="shared" si="0"/>
        <v>6074.12</v>
      </c>
    </row>
    <row r="7" spans="1:6" x14ac:dyDescent="0.25">
      <c r="A7" s="10"/>
      <c r="B7" s="8" t="s">
        <v>3</v>
      </c>
      <c r="C7" s="10" t="s">
        <v>4</v>
      </c>
      <c r="D7" s="4"/>
      <c r="E7" s="4"/>
      <c r="F7" s="4">
        <f>SUM(F4:F6)</f>
        <v>11450.02</v>
      </c>
    </row>
    <row r="8" spans="1:6" x14ac:dyDescent="0.25">
      <c r="A8" s="10">
        <v>4</v>
      </c>
      <c r="B8" s="8" t="s">
        <v>2</v>
      </c>
      <c r="C8" s="10"/>
      <c r="D8" s="5">
        <v>0.75</v>
      </c>
      <c r="E8" s="4"/>
      <c r="F8" s="4">
        <f>0.75*F7</f>
        <v>8587.52</v>
      </c>
    </row>
    <row r="9" spans="1:6" x14ac:dyDescent="0.25">
      <c r="A9" s="10"/>
      <c r="B9" s="8" t="s">
        <v>3</v>
      </c>
      <c r="C9" s="10"/>
      <c r="D9" s="5"/>
      <c r="E9" s="4"/>
      <c r="F9" s="4">
        <f>F7+F8</f>
        <v>20037.54</v>
      </c>
    </row>
    <row r="10" spans="1:6" x14ac:dyDescent="0.25">
      <c r="A10" s="10">
        <v>5</v>
      </c>
      <c r="B10" s="8" t="s">
        <v>5</v>
      </c>
      <c r="C10" s="10"/>
      <c r="D10" s="5">
        <v>0.7</v>
      </c>
      <c r="E10" s="4"/>
      <c r="F10" s="4">
        <f>0.7*F9</f>
        <v>14026.28</v>
      </c>
    </row>
    <row r="11" spans="1:6" x14ac:dyDescent="0.25">
      <c r="A11" s="10">
        <v>6</v>
      </c>
      <c r="B11" s="8" t="s">
        <v>6</v>
      </c>
      <c r="C11" s="10"/>
      <c r="D11" s="5">
        <v>0.5</v>
      </c>
      <c r="E11" s="4"/>
      <c r="F11" s="4">
        <f>0.5*F9</f>
        <v>10018.77</v>
      </c>
    </row>
    <row r="12" spans="1:6" x14ac:dyDescent="0.25">
      <c r="A12" s="10">
        <v>7</v>
      </c>
      <c r="B12" s="8" t="s">
        <v>7</v>
      </c>
      <c r="C12" s="10"/>
      <c r="D12" s="5">
        <v>0.5</v>
      </c>
      <c r="E12" s="4"/>
      <c r="F12" s="4">
        <v>32635.33</v>
      </c>
    </row>
    <row r="13" spans="1:6" x14ac:dyDescent="0.25">
      <c r="A13" s="10">
        <v>8</v>
      </c>
      <c r="B13" s="8" t="s">
        <v>8</v>
      </c>
      <c r="C13" s="10"/>
      <c r="D13" s="4"/>
      <c r="E13" s="4"/>
      <c r="F13" s="4">
        <f>F12+F11+F10+F9</f>
        <v>76717.919999999998</v>
      </c>
    </row>
    <row r="14" spans="1:6" x14ac:dyDescent="0.25">
      <c r="A14" s="10"/>
      <c r="B14" s="8"/>
      <c r="C14" s="10"/>
      <c r="D14" s="4"/>
      <c r="E14" s="4"/>
      <c r="F14" s="4"/>
    </row>
    <row r="15" spans="1:6" x14ac:dyDescent="0.25">
      <c r="A15" s="10">
        <v>9</v>
      </c>
      <c r="B15" s="8" t="s">
        <v>9</v>
      </c>
      <c r="C15" s="10"/>
      <c r="D15" s="5">
        <v>0.3</v>
      </c>
      <c r="E15" s="4"/>
      <c r="F15" s="4">
        <f>0.3*F13</f>
        <v>23015.38</v>
      </c>
    </row>
    <row r="16" spans="1:6" x14ac:dyDescent="0.25">
      <c r="A16" s="10">
        <v>10</v>
      </c>
      <c r="B16" s="8" t="s">
        <v>10</v>
      </c>
      <c r="C16" s="10"/>
      <c r="D16" s="6">
        <v>7.0000000000000001E-3</v>
      </c>
      <c r="E16" s="4"/>
      <c r="F16" s="4">
        <f>0.007*F13</f>
        <v>537.03</v>
      </c>
    </row>
    <row r="17" spans="1:6" x14ac:dyDescent="0.25">
      <c r="A17" s="10"/>
      <c r="B17" s="8"/>
      <c r="C17" s="10"/>
      <c r="D17" s="16"/>
      <c r="E17" s="4"/>
      <c r="F17" s="4"/>
    </row>
    <row r="18" spans="1:6" x14ac:dyDescent="0.25">
      <c r="A18" s="10">
        <v>11</v>
      </c>
      <c r="B18" s="8" t="s">
        <v>11</v>
      </c>
      <c r="C18" s="10"/>
      <c r="D18" s="5">
        <v>0.68</v>
      </c>
      <c r="E18" s="4"/>
      <c r="F18" s="4">
        <f>F13*0.68</f>
        <v>52168.19</v>
      </c>
    </row>
    <row r="19" spans="1:6" x14ac:dyDescent="0.25">
      <c r="A19" s="10">
        <v>12</v>
      </c>
      <c r="B19" s="8" t="s">
        <v>12</v>
      </c>
      <c r="C19" s="10"/>
      <c r="D19" s="5">
        <v>0.15</v>
      </c>
      <c r="E19" s="4"/>
      <c r="F19" s="4">
        <f>0.15*F13</f>
        <v>11507.69</v>
      </c>
    </row>
    <row r="20" spans="1:6" x14ac:dyDescent="0.25">
      <c r="A20" s="10"/>
      <c r="B20" s="8"/>
      <c r="C20" s="10"/>
      <c r="D20" s="4"/>
      <c r="E20" s="4"/>
      <c r="F20" s="4"/>
    </row>
    <row r="21" spans="1:6" x14ac:dyDescent="0.25">
      <c r="A21" s="10">
        <v>13</v>
      </c>
      <c r="B21" s="8" t="s">
        <v>13</v>
      </c>
      <c r="C21" s="10"/>
      <c r="D21" s="4"/>
      <c r="E21" s="4"/>
      <c r="F21" s="4">
        <f>F16+F15+F13+F18+F19</f>
        <v>163946.21</v>
      </c>
    </row>
    <row r="22" spans="1:6" x14ac:dyDescent="0.25">
      <c r="A22" s="10"/>
      <c r="B22" s="8"/>
      <c r="C22" s="10"/>
      <c r="D22" s="4"/>
      <c r="E22" s="4"/>
      <c r="F22" s="4"/>
    </row>
    <row r="23" spans="1:6" x14ac:dyDescent="0.25">
      <c r="A23" s="10">
        <v>14</v>
      </c>
      <c r="B23" s="8" t="s">
        <v>16</v>
      </c>
      <c r="C23" s="10"/>
      <c r="D23" s="4"/>
      <c r="E23" s="4"/>
      <c r="F23" s="4">
        <f>F21*12</f>
        <v>1967354.52</v>
      </c>
    </row>
    <row r="24" spans="1:6" x14ac:dyDescent="0.25">
      <c r="A24" s="10">
        <v>15</v>
      </c>
      <c r="B24" s="8" t="s">
        <v>18</v>
      </c>
      <c r="C24" s="10"/>
      <c r="D24" s="12">
        <f>1.1*2402</f>
        <v>2642</v>
      </c>
      <c r="E24" s="4"/>
      <c r="F24" s="4"/>
    </row>
    <row r="25" spans="1:6" ht="30" x14ac:dyDescent="0.25">
      <c r="A25" s="10">
        <v>16</v>
      </c>
      <c r="B25" s="15" t="s">
        <v>25</v>
      </c>
      <c r="C25" s="10"/>
      <c r="D25" s="4"/>
      <c r="E25" s="4"/>
      <c r="F25" s="4">
        <f>F23/12/D24</f>
        <v>62.05</v>
      </c>
    </row>
  </sheetData>
  <mergeCells count="2">
    <mergeCell ref="B1:F1"/>
    <mergeCell ref="B2:F2"/>
  </mergeCells>
  <pageMargins left="0.7" right="0.7" top="0.75" bottom="0.75" header="0.3" footer="0.3"/>
  <pageSetup paperSize="9" scale="8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115" zoomScaleNormal="100" zoomScaleSheetLayoutView="115" workbookViewId="0">
      <selection activeCell="D4" sqref="D4:D6"/>
    </sheetView>
  </sheetViews>
  <sheetFormatPr defaultRowHeight="15" x14ac:dyDescent="0.25"/>
  <cols>
    <col min="1" max="1" width="9.140625" style="11"/>
    <col min="2" max="2" width="36" style="9" customWidth="1"/>
    <col min="3" max="3" width="12" style="11" customWidth="1"/>
    <col min="4" max="4" width="12.5703125" style="7" customWidth="1"/>
    <col min="5" max="5" width="14" style="7" customWidth="1"/>
    <col min="6" max="6" width="16.42578125" style="7" customWidth="1"/>
    <col min="7" max="7" width="9.140625" style="2" customWidth="1"/>
    <col min="8" max="16384" width="9.140625" style="2"/>
  </cols>
  <sheetData>
    <row r="1" spans="1:6" x14ac:dyDescent="0.25">
      <c r="B1" s="39" t="s">
        <v>17</v>
      </c>
      <c r="C1" s="39"/>
      <c r="D1" s="39"/>
      <c r="E1" s="39"/>
      <c r="F1" s="39"/>
    </row>
    <row r="2" spans="1:6" x14ac:dyDescent="0.25">
      <c r="B2" s="39" t="s">
        <v>38</v>
      </c>
      <c r="C2" s="39"/>
      <c r="D2" s="39"/>
      <c r="E2" s="39"/>
      <c r="F2" s="39"/>
    </row>
    <row r="4" spans="1:6" x14ac:dyDescent="0.25">
      <c r="A4" s="10">
        <v>1</v>
      </c>
      <c r="B4" s="8" t="s">
        <v>0</v>
      </c>
      <c r="C4" s="10" t="s">
        <v>26</v>
      </c>
      <c r="D4" s="23">
        <v>0.08</v>
      </c>
      <c r="E4" s="4">
        <f>1.03*'2022'!E4</f>
        <v>23423.61</v>
      </c>
      <c r="F4" s="4">
        <f>D4*E4</f>
        <v>1873.89</v>
      </c>
    </row>
    <row r="5" spans="1:6" x14ac:dyDescent="0.25">
      <c r="A5" s="10">
        <v>2</v>
      </c>
      <c r="B5" s="8" t="s">
        <v>15</v>
      </c>
      <c r="C5" s="10" t="s">
        <v>26</v>
      </c>
      <c r="D5" s="23">
        <v>0.8</v>
      </c>
      <c r="E5" s="4">
        <f>1.03*'2022'!E5</f>
        <v>18316.439999999999</v>
      </c>
      <c r="F5" s="4">
        <f t="shared" ref="F5:F6" si="0">D5*E5</f>
        <v>14653.15</v>
      </c>
    </row>
    <row r="6" spans="1:6" x14ac:dyDescent="0.25">
      <c r="A6" s="10">
        <v>3</v>
      </c>
      <c r="B6" s="8" t="s">
        <v>1</v>
      </c>
      <c r="C6" s="10" t="s">
        <v>26</v>
      </c>
      <c r="D6" s="23">
        <v>0.76149999999999995</v>
      </c>
      <c r="E6" s="4">
        <f>1.03*'2022'!E6</f>
        <v>15466.86</v>
      </c>
      <c r="F6" s="4">
        <f t="shared" si="0"/>
        <v>11778.01</v>
      </c>
    </row>
    <row r="7" spans="1:6" x14ac:dyDescent="0.25">
      <c r="A7" s="10"/>
      <c r="B7" s="8" t="s">
        <v>3</v>
      </c>
      <c r="C7" s="10" t="s">
        <v>4</v>
      </c>
      <c r="D7" s="4"/>
      <c r="E7" s="4"/>
      <c r="F7" s="4">
        <f>SUM(F4:F6)</f>
        <v>28305.05</v>
      </c>
    </row>
    <row r="8" spans="1:6" x14ac:dyDescent="0.25">
      <c r="A8" s="10">
        <v>4</v>
      </c>
      <c r="B8" s="8" t="s">
        <v>2</v>
      </c>
      <c r="C8" s="10"/>
      <c r="D8" s="5">
        <v>0.75</v>
      </c>
      <c r="E8" s="4"/>
      <c r="F8" s="4">
        <f>0.75*F7</f>
        <v>21228.79</v>
      </c>
    </row>
    <row r="9" spans="1:6" x14ac:dyDescent="0.25">
      <c r="A9" s="10"/>
      <c r="B9" s="8" t="s">
        <v>3</v>
      </c>
      <c r="C9" s="10"/>
      <c r="D9" s="5"/>
      <c r="E9" s="4"/>
      <c r="F9" s="4">
        <f>F7+F8</f>
        <v>49533.84</v>
      </c>
    </row>
    <row r="10" spans="1:6" x14ac:dyDescent="0.25">
      <c r="A10" s="10">
        <v>5</v>
      </c>
      <c r="B10" s="8" t="s">
        <v>5</v>
      </c>
      <c r="C10" s="10"/>
      <c r="D10" s="5">
        <v>0.7</v>
      </c>
      <c r="E10" s="4"/>
      <c r="F10" s="4">
        <f>0.7*F9</f>
        <v>34673.69</v>
      </c>
    </row>
    <row r="11" spans="1:6" x14ac:dyDescent="0.25">
      <c r="A11" s="10">
        <v>6</v>
      </c>
      <c r="B11" s="8" t="s">
        <v>6</v>
      </c>
      <c r="C11" s="10"/>
      <c r="D11" s="5">
        <v>0.5</v>
      </c>
      <c r="E11" s="4"/>
      <c r="F11" s="4">
        <f>0.5*F9</f>
        <v>24766.92</v>
      </c>
    </row>
    <row r="12" spans="1:6" x14ac:dyDescent="0.25">
      <c r="A12" s="10">
        <v>7</v>
      </c>
      <c r="B12" s="8" t="s">
        <v>7</v>
      </c>
      <c r="C12" s="10"/>
      <c r="D12" s="5">
        <v>0.5</v>
      </c>
      <c r="E12" s="4"/>
      <c r="F12" s="4">
        <v>32635.33</v>
      </c>
    </row>
    <row r="13" spans="1:6" x14ac:dyDescent="0.25">
      <c r="A13" s="10">
        <v>8</v>
      </c>
      <c r="B13" s="8" t="s">
        <v>8</v>
      </c>
      <c r="C13" s="10"/>
      <c r="D13" s="4"/>
      <c r="E13" s="4"/>
      <c r="F13" s="4">
        <f>F12+F11+F10+F9</f>
        <v>141609.78</v>
      </c>
    </row>
    <row r="14" spans="1:6" x14ac:dyDescent="0.25">
      <c r="A14" s="10"/>
      <c r="B14" s="8"/>
      <c r="C14" s="10"/>
      <c r="D14" s="4"/>
      <c r="E14" s="4"/>
      <c r="F14" s="4"/>
    </row>
    <row r="15" spans="1:6" x14ac:dyDescent="0.25">
      <c r="A15" s="10">
        <v>9</v>
      </c>
      <c r="B15" s="8" t="s">
        <v>9</v>
      </c>
      <c r="C15" s="10"/>
      <c r="D15" s="5">
        <v>0.3</v>
      </c>
      <c r="E15" s="4"/>
      <c r="F15" s="4">
        <f>0.3*F13</f>
        <v>42482.93</v>
      </c>
    </row>
    <row r="16" spans="1:6" x14ac:dyDescent="0.25">
      <c r="A16" s="10">
        <v>10</v>
      </c>
      <c r="B16" s="8" t="s">
        <v>10</v>
      </c>
      <c r="C16" s="10"/>
      <c r="D16" s="6">
        <v>7.0000000000000001E-3</v>
      </c>
      <c r="E16" s="4"/>
      <c r="F16" s="4">
        <f>0.007*F13</f>
        <v>991.27</v>
      </c>
    </row>
    <row r="17" spans="1:6" x14ac:dyDescent="0.25">
      <c r="A17" s="10"/>
      <c r="B17" s="8"/>
      <c r="C17" s="10"/>
      <c r="D17" s="16"/>
      <c r="E17" s="4"/>
      <c r="F17" s="4"/>
    </row>
    <row r="18" spans="1:6" x14ac:dyDescent="0.25">
      <c r="A18" s="10">
        <v>11</v>
      </c>
      <c r="B18" s="8" t="s">
        <v>11</v>
      </c>
      <c r="C18" s="10"/>
      <c r="D18" s="5">
        <v>0.68</v>
      </c>
      <c r="E18" s="4"/>
      <c r="F18" s="4">
        <f>F13*0.68</f>
        <v>96294.65</v>
      </c>
    </row>
    <row r="19" spans="1:6" x14ac:dyDescent="0.25">
      <c r="A19" s="10">
        <v>12</v>
      </c>
      <c r="B19" s="8" t="s">
        <v>12</v>
      </c>
      <c r="C19" s="10"/>
      <c r="D19" s="5">
        <v>0.15</v>
      </c>
      <c r="E19" s="4"/>
      <c r="F19" s="4">
        <f>0.15*F13</f>
        <v>21241.47</v>
      </c>
    </row>
    <row r="20" spans="1:6" x14ac:dyDescent="0.25">
      <c r="A20" s="10"/>
      <c r="B20" s="8"/>
      <c r="C20" s="10"/>
      <c r="D20" s="4"/>
      <c r="E20" s="4"/>
      <c r="F20" s="4"/>
    </row>
    <row r="21" spans="1:6" x14ac:dyDescent="0.25">
      <c r="A21" s="10">
        <v>13</v>
      </c>
      <c r="B21" s="8" t="s">
        <v>13</v>
      </c>
      <c r="C21" s="10"/>
      <c r="D21" s="4"/>
      <c r="E21" s="4"/>
      <c r="F21" s="4">
        <f>F16+F15+F13+F18+F19</f>
        <v>302620.09999999998</v>
      </c>
    </row>
    <row r="22" spans="1:6" x14ac:dyDescent="0.25">
      <c r="A22" s="10"/>
      <c r="B22" s="8"/>
      <c r="C22" s="10"/>
      <c r="D22" s="4"/>
      <c r="E22" s="4"/>
      <c r="F22" s="4"/>
    </row>
    <row r="23" spans="1:6" x14ac:dyDescent="0.25">
      <c r="A23" s="10">
        <v>14</v>
      </c>
      <c r="B23" s="8" t="s">
        <v>16</v>
      </c>
      <c r="C23" s="10"/>
      <c r="D23" s="4"/>
      <c r="E23" s="4"/>
      <c r="F23" s="4">
        <f>F21*12</f>
        <v>3631441.2</v>
      </c>
    </row>
    <row r="24" spans="1:6" x14ac:dyDescent="0.25">
      <c r="A24" s="10">
        <v>15</v>
      </c>
      <c r="B24" s="8" t="s">
        <v>18</v>
      </c>
      <c r="C24" s="10"/>
      <c r="D24" s="12">
        <f>1.1*4318</f>
        <v>4750</v>
      </c>
      <c r="E24" s="4"/>
      <c r="F24" s="4"/>
    </row>
    <row r="25" spans="1:6" ht="30" x14ac:dyDescent="0.25">
      <c r="A25" s="10">
        <v>16</v>
      </c>
      <c r="B25" s="15" t="s">
        <v>25</v>
      </c>
      <c r="C25" s="10"/>
      <c r="D25" s="4"/>
      <c r="E25" s="4"/>
      <c r="F25" s="4">
        <f>F23/12/D24</f>
        <v>63.71</v>
      </c>
    </row>
  </sheetData>
  <mergeCells count="2">
    <mergeCell ref="B1:F1"/>
    <mergeCell ref="B2:F2"/>
  </mergeCells>
  <pageMargins left="0.7" right="0.7" top="0.75" bottom="0.75" header="0.3" footer="0.3"/>
  <pageSetup paperSize="9" scale="88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115" zoomScaleNormal="100" zoomScaleSheetLayoutView="115" workbookViewId="0">
      <selection activeCell="D4" sqref="D4:D6"/>
    </sheetView>
  </sheetViews>
  <sheetFormatPr defaultRowHeight="15" x14ac:dyDescent="0.25"/>
  <cols>
    <col min="1" max="1" width="9.140625" style="11"/>
    <col min="2" max="2" width="36" style="9" customWidth="1"/>
    <col min="3" max="3" width="12" style="11" customWidth="1"/>
    <col min="4" max="4" width="12.5703125" style="7" customWidth="1"/>
    <col min="5" max="5" width="14" style="7" customWidth="1"/>
    <col min="6" max="6" width="16.42578125" style="7" customWidth="1"/>
    <col min="7" max="7" width="9.140625" style="2" customWidth="1"/>
    <col min="8" max="16384" width="9.140625" style="2"/>
  </cols>
  <sheetData>
    <row r="1" spans="1:6" x14ac:dyDescent="0.25">
      <c r="B1" s="39" t="s">
        <v>17</v>
      </c>
      <c r="C1" s="39"/>
      <c r="D1" s="39"/>
      <c r="E1" s="39"/>
      <c r="F1" s="39"/>
    </row>
    <row r="2" spans="1:6" x14ac:dyDescent="0.25">
      <c r="B2" s="39" t="s">
        <v>39</v>
      </c>
      <c r="C2" s="39"/>
      <c r="D2" s="39"/>
      <c r="E2" s="39"/>
      <c r="F2" s="39"/>
    </row>
    <row r="4" spans="1:6" x14ac:dyDescent="0.25">
      <c r="A4" s="10">
        <v>1</v>
      </c>
      <c r="B4" s="8" t="s">
        <v>0</v>
      </c>
      <c r="C4" s="10" t="s">
        <v>26</v>
      </c>
      <c r="D4" s="23">
        <v>0.15</v>
      </c>
      <c r="E4" s="4">
        <f>1.03*'2023'!E4</f>
        <v>24126.32</v>
      </c>
      <c r="F4" s="4">
        <f>D4*E4</f>
        <v>3618.95</v>
      </c>
    </row>
    <row r="5" spans="1:6" x14ac:dyDescent="0.25">
      <c r="A5" s="10">
        <v>2</v>
      </c>
      <c r="B5" s="8" t="s">
        <v>15</v>
      </c>
      <c r="C5" s="10" t="s">
        <v>26</v>
      </c>
      <c r="D5" s="23">
        <v>0.8</v>
      </c>
      <c r="E5" s="4">
        <f>1.03*'2023'!E5</f>
        <v>18865.93</v>
      </c>
      <c r="F5" s="4">
        <f t="shared" ref="F5:F6" si="0">D5*E5</f>
        <v>15092.74</v>
      </c>
    </row>
    <row r="6" spans="1:6" x14ac:dyDescent="0.25">
      <c r="A6" s="10">
        <v>3</v>
      </c>
      <c r="B6" s="8" t="s">
        <v>1</v>
      </c>
      <c r="C6" s="10" t="s">
        <v>26</v>
      </c>
      <c r="D6" s="23">
        <v>0.85399999999999998</v>
      </c>
      <c r="E6" s="4">
        <f>1.03*'2023'!E6</f>
        <v>15930.87</v>
      </c>
      <c r="F6" s="4">
        <f t="shared" si="0"/>
        <v>13604.96</v>
      </c>
    </row>
    <row r="7" spans="1:6" x14ac:dyDescent="0.25">
      <c r="A7" s="10"/>
      <c r="B7" s="8" t="s">
        <v>3</v>
      </c>
      <c r="C7" s="10" t="s">
        <v>4</v>
      </c>
      <c r="D7" s="4"/>
      <c r="E7" s="4"/>
      <c r="F7" s="4">
        <f>SUM(F4:F6)</f>
        <v>32316.65</v>
      </c>
    </row>
    <row r="8" spans="1:6" x14ac:dyDescent="0.25">
      <c r="A8" s="10">
        <v>4</v>
      </c>
      <c r="B8" s="8" t="s">
        <v>2</v>
      </c>
      <c r="C8" s="10"/>
      <c r="D8" s="5">
        <v>0.75</v>
      </c>
      <c r="E8" s="4"/>
      <c r="F8" s="4">
        <f>0.75*F7</f>
        <v>24237.49</v>
      </c>
    </row>
    <row r="9" spans="1:6" x14ac:dyDescent="0.25">
      <c r="A9" s="10"/>
      <c r="B9" s="8" t="s">
        <v>3</v>
      </c>
      <c r="C9" s="10"/>
      <c r="D9" s="5"/>
      <c r="E9" s="4"/>
      <c r="F9" s="4">
        <f>F7+F8</f>
        <v>56554.14</v>
      </c>
    </row>
    <row r="10" spans="1:6" x14ac:dyDescent="0.25">
      <c r="A10" s="10">
        <v>5</v>
      </c>
      <c r="B10" s="8" t="s">
        <v>5</v>
      </c>
      <c r="C10" s="10"/>
      <c r="D10" s="5">
        <v>0.7</v>
      </c>
      <c r="E10" s="4"/>
      <c r="F10" s="4">
        <f>0.7*F9</f>
        <v>39587.9</v>
      </c>
    </row>
    <row r="11" spans="1:6" x14ac:dyDescent="0.25">
      <c r="A11" s="10">
        <v>6</v>
      </c>
      <c r="B11" s="8" t="s">
        <v>6</v>
      </c>
      <c r="C11" s="10"/>
      <c r="D11" s="5">
        <v>0.5</v>
      </c>
      <c r="E11" s="4"/>
      <c r="F11" s="4">
        <f>0.5*F9</f>
        <v>28277.07</v>
      </c>
    </row>
    <row r="12" spans="1:6" x14ac:dyDescent="0.25">
      <c r="A12" s="10">
        <v>7</v>
      </c>
      <c r="B12" s="8" t="s">
        <v>7</v>
      </c>
      <c r="C12" s="10"/>
      <c r="D12" s="5">
        <v>0.5</v>
      </c>
      <c r="E12" s="4"/>
      <c r="F12" s="4">
        <v>32635.33</v>
      </c>
    </row>
    <row r="13" spans="1:6" x14ac:dyDescent="0.25">
      <c r="A13" s="10">
        <v>8</v>
      </c>
      <c r="B13" s="8" t="s">
        <v>8</v>
      </c>
      <c r="C13" s="10"/>
      <c r="D13" s="4"/>
      <c r="E13" s="4"/>
      <c r="F13" s="4">
        <f>F12+F11+F10+F9</f>
        <v>157054.44</v>
      </c>
    </row>
    <row r="14" spans="1:6" x14ac:dyDescent="0.25">
      <c r="A14" s="10"/>
      <c r="B14" s="8"/>
      <c r="C14" s="10"/>
      <c r="D14" s="4"/>
      <c r="E14" s="4"/>
      <c r="F14" s="4"/>
    </row>
    <row r="15" spans="1:6" x14ac:dyDescent="0.25">
      <c r="A15" s="10">
        <v>9</v>
      </c>
      <c r="B15" s="8" t="s">
        <v>9</v>
      </c>
      <c r="C15" s="10"/>
      <c r="D15" s="5">
        <v>0.3</v>
      </c>
      <c r="E15" s="4"/>
      <c r="F15" s="4">
        <f>0.3*F13</f>
        <v>47116.33</v>
      </c>
    </row>
    <row r="16" spans="1:6" x14ac:dyDescent="0.25">
      <c r="A16" s="10">
        <v>10</v>
      </c>
      <c r="B16" s="8" t="s">
        <v>10</v>
      </c>
      <c r="C16" s="10"/>
      <c r="D16" s="6">
        <v>7.0000000000000001E-3</v>
      </c>
      <c r="E16" s="4"/>
      <c r="F16" s="4">
        <f>0.007*F13</f>
        <v>1099.3800000000001</v>
      </c>
    </row>
    <row r="17" spans="1:6" x14ac:dyDescent="0.25">
      <c r="A17" s="10"/>
      <c r="B17" s="8"/>
      <c r="C17" s="10"/>
      <c r="D17" s="16"/>
      <c r="E17" s="4"/>
      <c r="F17" s="4"/>
    </row>
    <row r="18" spans="1:6" x14ac:dyDescent="0.25">
      <c r="A18" s="10">
        <v>11</v>
      </c>
      <c r="B18" s="8" t="s">
        <v>11</v>
      </c>
      <c r="C18" s="10"/>
      <c r="D18" s="5">
        <v>0.68</v>
      </c>
      <c r="E18" s="4"/>
      <c r="F18" s="4">
        <f>F13*0.68</f>
        <v>106797.02</v>
      </c>
    </row>
    <row r="19" spans="1:6" x14ac:dyDescent="0.25">
      <c r="A19" s="10">
        <v>12</v>
      </c>
      <c r="B19" s="8" t="s">
        <v>12</v>
      </c>
      <c r="C19" s="10"/>
      <c r="D19" s="5">
        <v>0.15</v>
      </c>
      <c r="E19" s="4"/>
      <c r="F19" s="4">
        <f>0.15*F13</f>
        <v>23558.17</v>
      </c>
    </row>
    <row r="20" spans="1:6" x14ac:dyDescent="0.25">
      <c r="A20" s="10"/>
      <c r="B20" s="8"/>
      <c r="C20" s="10"/>
      <c r="D20" s="4"/>
      <c r="E20" s="4"/>
      <c r="F20" s="4"/>
    </row>
    <row r="21" spans="1:6" x14ac:dyDescent="0.25">
      <c r="A21" s="10">
        <v>13</v>
      </c>
      <c r="B21" s="8" t="s">
        <v>13</v>
      </c>
      <c r="C21" s="10"/>
      <c r="D21" s="4"/>
      <c r="E21" s="4"/>
      <c r="F21" s="4">
        <f>F16+F15+F13+F18+F19</f>
        <v>335625.34</v>
      </c>
    </row>
    <row r="22" spans="1:6" x14ac:dyDescent="0.25">
      <c r="A22" s="10"/>
      <c r="B22" s="8"/>
      <c r="C22" s="10"/>
      <c r="D22" s="4"/>
      <c r="E22" s="4"/>
      <c r="F22" s="4"/>
    </row>
    <row r="23" spans="1:6" x14ac:dyDescent="0.25">
      <c r="A23" s="10">
        <v>14</v>
      </c>
      <c r="B23" s="8" t="s">
        <v>16</v>
      </c>
      <c r="C23" s="10"/>
      <c r="D23" s="4"/>
      <c r="E23" s="4"/>
      <c r="F23" s="4">
        <f>F21*12</f>
        <v>4027504.08</v>
      </c>
    </row>
    <row r="24" spans="1:6" x14ac:dyDescent="0.25">
      <c r="A24" s="10">
        <v>15</v>
      </c>
      <c r="B24" s="8" t="s">
        <v>18</v>
      </c>
      <c r="C24" s="10"/>
      <c r="D24" s="12">
        <f>1.1*4653</f>
        <v>5118</v>
      </c>
      <c r="E24" s="4"/>
      <c r="F24" s="4"/>
    </row>
    <row r="25" spans="1:6" ht="30" x14ac:dyDescent="0.25">
      <c r="A25" s="10">
        <v>16</v>
      </c>
      <c r="B25" s="15" t="s">
        <v>25</v>
      </c>
      <c r="C25" s="10"/>
      <c r="D25" s="4"/>
      <c r="E25" s="4"/>
      <c r="F25" s="4">
        <f>F23/12/D24</f>
        <v>65.58</v>
      </c>
    </row>
  </sheetData>
  <mergeCells count="2">
    <mergeCell ref="B1:F1"/>
    <mergeCell ref="B2:F2"/>
  </mergeCells>
  <pageMargins left="0.7" right="0.7" top="0.75" bottom="0.75" header="0.3" footer="0.3"/>
  <pageSetup paperSize="9" scale="88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115" zoomScaleNormal="100" zoomScaleSheetLayoutView="115" workbookViewId="0">
      <selection activeCell="G6" sqref="G6"/>
    </sheetView>
  </sheetViews>
  <sheetFormatPr defaultRowHeight="15" x14ac:dyDescent="0.25"/>
  <cols>
    <col min="1" max="1" width="9.140625" style="11"/>
    <col min="2" max="2" width="36" style="9" customWidth="1"/>
    <col min="3" max="3" width="12" style="11" customWidth="1"/>
    <col min="4" max="4" width="12.5703125" style="7" customWidth="1"/>
    <col min="5" max="5" width="14" style="7" customWidth="1"/>
    <col min="6" max="6" width="16.42578125" style="7" customWidth="1"/>
    <col min="7" max="7" width="9.140625" style="2" customWidth="1"/>
    <col min="8" max="16384" width="9.140625" style="2"/>
  </cols>
  <sheetData>
    <row r="1" spans="1:6" x14ac:dyDescent="0.25">
      <c r="B1" s="39" t="s">
        <v>17</v>
      </c>
      <c r="C1" s="39"/>
      <c r="D1" s="39"/>
      <c r="E1" s="39"/>
      <c r="F1" s="39"/>
    </row>
    <row r="2" spans="1:6" x14ac:dyDescent="0.25">
      <c r="B2" s="39" t="s">
        <v>40</v>
      </c>
      <c r="C2" s="39"/>
      <c r="D2" s="39"/>
      <c r="E2" s="39"/>
      <c r="F2" s="39"/>
    </row>
    <row r="4" spans="1:6" x14ac:dyDescent="0.25">
      <c r="A4" s="10">
        <v>1</v>
      </c>
      <c r="B4" s="8" t="s">
        <v>0</v>
      </c>
      <c r="C4" s="10" t="s">
        <v>26</v>
      </c>
      <c r="D4" s="23">
        <v>0.2</v>
      </c>
      <c r="E4" s="4">
        <f>1.03*'2024'!E4</f>
        <v>24850.11</v>
      </c>
      <c r="F4" s="4">
        <f>D4*E4</f>
        <v>4970.0200000000004</v>
      </c>
    </row>
    <row r="5" spans="1:6" x14ac:dyDescent="0.25">
      <c r="A5" s="10">
        <v>2</v>
      </c>
      <c r="B5" s="8" t="s">
        <v>15</v>
      </c>
      <c r="C5" s="10" t="s">
        <v>26</v>
      </c>
      <c r="D5" s="23">
        <v>0.81100000000000005</v>
      </c>
      <c r="E5" s="4">
        <f>1.03*'2024'!E5</f>
        <v>19431.91</v>
      </c>
      <c r="F5" s="4">
        <f t="shared" ref="F5:F6" si="0">D5*E5</f>
        <v>15759.28</v>
      </c>
    </row>
    <row r="6" spans="1:6" x14ac:dyDescent="0.25">
      <c r="A6" s="10">
        <v>3</v>
      </c>
      <c r="B6" s="8" t="s">
        <v>1</v>
      </c>
      <c r="C6" s="10" t="s">
        <v>26</v>
      </c>
      <c r="D6" s="23">
        <v>0.90100000000000002</v>
      </c>
      <c r="E6" s="4">
        <f>1.03*'2024'!E6</f>
        <v>16408.8</v>
      </c>
      <c r="F6" s="4">
        <f t="shared" si="0"/>
        <v>14784.33</v>
      </c>
    </row>
    <row r="7" spans="1:6" x14ac:dyDescent="0.25">
      <c r="A7" s="10"/>
      <c r="B7" s="8" t="s">
        <v>3</v>
      </c>
      <c r="C7" s="10" t="s">
        <v>4</v>
      </c>
      <c r="D7" s="4"/>
      <c r="E7" s="4"/>
      <c r="F7" s="4">
        <f>SUM(F4:F6)</f>
        <v>35513.629999999997</v>
      </c>
    </row>
    <row r="8" spans="1:6" x14ac:dyDescent="0.25">
      <c r="A8" s="10">
        <v>4</v>
      </c>
      <c r="B8" s="8" t="s">
        <v>2</v>
      </c>
      <c r="C8" s="10"/>
      <c r="D8" s="5">
        <v>0.75</v>
      </c>
      <c r="E8" s="4"/>
      <c r="F8" s="4">
        <f>0.75*F7</f>
        <v>26635.22</v>
      </c>
    </row>
    <row r="9" spans="1:6" x14ac:dyDescent="0.25">
      <c r="A9" s="10"/>
      <c r="B9" s="8" t="s">
        <v>3</v>
      </c>
      <c r="C9" s="10"/>
      <c r="D9" s="5"/>
      <c r="E9" s="4"/>
      <c r="F9" s="4">
        <f>F7+F8</f>
        <v>62148.85</v>
      </c>
    </row>
    <row r="10" spans="1:6" x14ac:dyDescent="0.25">
      <c r="A10" s="10">
        <v>5</v>
      </c>
      <c r="B10" s="8" t="s">
        <v>5</v>
      </c>
      <c r="C10" s="10"/>
      <c r="D10" s="5">
        <v>0.7</v>
      </c>
      <c r="E10" s="4"/>
      <c r="F10" s="4">
        <f>0.7*F9</f>
        <v>43504.2</v>
      </c>
    </row>
    <row r="11" spans="1:6" x14ac:dyDescent="0.25">
      <c r="A11" s="10">
        <v>6</v>
      </c>
      <c r="B11" s="8" t="s">
        <v>6</v>
      </c>
      <c r="C11" s="10"/>
      <c r="D11" s="5">
        <v>0.5</v>
      </c>
      <c r="E11" s="4"/>
      <c r="F11" s="4">
        <f>0.5*F9</f>
        <v>31074.43</v>
      </c>
    </row>
    <row r="12" spans="1:6" x14ac:dyDescent="0.25">
      <c r="A12" s="10">
        <v>7</v>
      </c>
      <c r="B12" s="8" t="s">
        <v>7</v>
      </c>
      <c r="C12" s="10"/>
      <c r="D12" s="5">
        <v>0.5</v>
      </c>
      <c r="E12" s="4"/>
      <c r="F12" s="4">
        <v>32635.33</v>
      </c>
    </row>
    <row r="13" spans="1:6" x14ac:dyDescent="0.25">
      <c r="A13" s="10">
        <v>8</v>
      </c>
      <c r="B13" s="8" t="s">
        <v>8</v>
      </c>
      <c r="C13" s="10"/>
      <c r="D13" s="4"/>
      <c r="E13" s="4"/>
      <c r="F13" s="4">
        <f>F12+F11+F10+F9</f>
        <v>169362.81</v>
      </c>
    </row>
    <row r="14" spans="1:6" x14ac:dyDescent="0.25">
      <c r="A14" s="10"/>
      <c r="B14" s="8"/>
      <c r="C14" s="10"/>
      <c r="D14" s="4"/>
      <c r="E14" s="4"/>
      <c r="F14" s="4"/>
    </row>
    <row r="15" spans="1:6" x14ac:dyDescent="0.25">
      <c r="A15" s="10">
        <v>9</v>
      </c>
      <c r="B15" s="8" t="s">
        <v>9</v>
      </c>
      <c r="C15" s="10"/>
      <c r="D15" s="5">
        <v>0.3</v>
      </c>
      <c r="E15" s="4"/>
      <c r="F15" s="4">
        <f>0.3*F13</f>
        <v>50808.84</v>
      </c>
    </row>
    <row r="16" spans="1:6" x14ac:dyDescent="0.25">
      <c r="A16" s="10">
        <v>10</v>
      </c>
      <c r="B16" s="8" t="s">
        <v>10</v>
      </c>
      <c r="C16" s="10"/>
      <c r="D16" s="6">
        <v>7.0000000000000001E-3</v>
      </c>
      <c r="E16" s="4"/>
      <c r="F16" s="4">
        <f>0.007*F13</f>
        <v>1185.54</v>
      </c>
    </row>
    <row r="17" spans="1:6" x14ac:dyDescent="0.25">
      <c r="A17" s="10"/>
      <c r="B17" s="8"/>
      <c r="C17" s="10"/>
      <c r="D17" s="16"/>
      <c r="E17" s="4"/>
      <c r="F17" s="4"/>
    </row>
    <row r="18" spans="1:6" x14ac:dyDescent="0.25">
      <c r="A18" s="10">
        <v>11</v>
      </c>
      <c r="B18" s="8" t="s">
        <v>11</v>
      </c>
      <c r="C18" s="10"/>
      <c r="D18" s="5">
        <v>0.68</v>
      </c>
      <c r="E18" s="4"/>
      <c r="F18" s="4">
        <f>F13*0.68</f>
        <v>115166.71</v>
      </c>
    </row>
    <row r="19" spans="1:6" x14ac:dyDescent="0.25">
      <c r="A19" s="10">
        <v>12</v>
      </c>
      <c r="B19" s="8" t="s">
        <v>12</v>
      </c>
      <c r="C19" s="10"/>
      <c r="D19" s="5">
        <v>0.15</v>
      </c>
      <c r="E19" s="4"/>
      <c r="F19" s="4">
        <f>0.15*F13</f>
        <v>25404.42</v>
      </c>
    </row>
    <row r="20" spans="1:6" x14ac:dyDescent="0.25">
      <c r="A20" s="10"/>
      <c r="B20" s="8"/>
      <c r="C20" s="10"/>
      <c r="D20" s="4"/>
      <c r="E20" s="4"/>
      <c r="F20" s="4"/>
    </row>
    <row r="21" spans="1:6" x14ac:dyDescent="0.25">
      <c r="A21" s="10">
        <v>13</v>
      </c>
      <c r="B21" s="8" t="s">
        <v>13</v>
      </c>
      <c r="C21" s="10"/>
      <c r="D21" s="4"/>
      <c r="E21" s="4"/>
      <c r="F21" s="4">
        <f>F16+F15+F13+F18+F19</f>
        <v>361928.32</v>
      </c>
    </row>
    <row r="22" spans="1:6" x14ac:dyDescent="0.25">
      <c r="A22" s="10"/>
      <c r="B22" s="8"/>
      <c r="C22" s="10"/>
      <c r="D22" s="4"/>
      <c r="E22" s="4"/>
      <c r="F22" s="4"/>
    </row>
    <row r="23" spans="1:6" x14ac:dyDescent="0.25">
      <c r="A23" s="10">
        <v>14</v>
      </c>
      <c r="B23" s="8" t="s">
        <v>16</v>
      </c>
      <c r="C23" s="10"/>
      <c r="D23" s="4"/>
      <c r="E23" s="4"/>
      <c r="F23" s="4">
        <f>F21*12</f>
        <v>4343139.84</v>
      </c>
    </row>
    <row r="24" spans="1:6" x14ac:dyDescent="0.25">
      <c r="A24" s="10">
        <v>15</v>
      </c>
      <c r="B24" s="8" t="s">
        <v>18</v>
      </c>
      <c r="C24" s="10"/>
      <c r="D24" s="12">
        <f>1.1*4954</f>
        <v>5449</v>
      </c>
      <c r="E24" s="4"/>
      <c r="F24" s="4"/>
    </row>
    <row r="25" spans="1:6" ht="30" x14ac:dyDescent="0.25">
      <c r="A25" s="10">
        <v>16</v>
      </c>
      <c r="B25" s="15" t="s">
        <v>25</v>
      </c>
      <c r="C25" s="10"/>
      <c r="D25" s="4"/>
      <c r="E25" s="4"/>
      <c r="F25" s="4">
        <f>F23/12/D24</f>
        <v>66.42</v>
      </c>
    </row>
  </sheetData>
  <mergeCells count="2">
    <mergeCell ref="B1:F1"/>
    <mergeCell ref="B2:F2"/>
  </mergeCells>
  <pageMargins left="0.7" right="0.7" top="0.75" bottom="0.75" header="0.3" footer="0.3"/>
  <pageSetup paperSize="9" scale="8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сводный расчет (2)</vt:lpstr>
      <vt:lpstr>сводный расчет</vt:lpstr>
      <vt:lpstr>2021</vt:lpstr>
      <vt:lpstr>2022</vt:lpstr>
      <vt:lpstr>2023</vt:lpstr>
      <vt:lpstr>2024</vt:lpstr>
      <vt:lpstr>2025</vt:lpstr>
      <vt:lpstr>'2021'!Область_печати</vt:lpstr>
      <vt:lpstr>'2022'!Область_печати</vt:lpstr>
      <vt:lpstr>'2023'!Область_печати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Дьяченко</dc:creator>
  <cp:lastModifiedBy>Andrey Stukalov</cp:lastModifiedBy>
  <cp:lastPrinted>2020-09-14T08:34:18Z</cp:lastPrinted>
  <dcterms:created xsi:type="dcterms:W3CDTF">2020-09-14T04:39:08Z</dcterms:created>
  <dcterms:modified xsi:type="dcterms:W3CDTF">2020-09-16T10:07:21Z</dcterms:modified>
</cp:coreProperties>
</file>